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28695" windowHeight="12525" activeTab="1"/>
  </bookViews>
  <sheets>
    <sheet name="Титул" sheetId="1" r:id="rId1"/>
    <sheet name="Содержание" sheetId="2" r:id="rId2"/>
    <sheet name="Выручка" sheetId="3" r:id="rId3"/>
    <sheet name="Баланс_ресурсов" sheetId="4" state="veryHidden" r:id="rId4"/>
    <sheet name="OPEX" sheetId="5" r:id="rId5"/>
    <sheet name="OPEX_long" sheetId="6" state="veryHidden" r:id="rId6"/>
    <sheet name="CAPEX" sheetId="7" r:id="rId7"/>
    <sheet name="CAPEX_long" sheetId="8" state="veryHidden" r:id="rId8"/>
    <sheet name="Источники_Долг_WACC" sheetId="9" r:id="rId9"/>
    <sheet name="CF" sheetId="10" r:id="rId10"/>
    <sheet name="Табло" sheetId="11" r:id="rId11"/>
    <sheet name="для графика" sheetId="12" state="veryHidden" r:id="rId12"/>
  </sheets>
  <definedNames>
    <definedName name="Z_7D5A2C9F_3ABE_4F29_B54C_C3E3AA98CA69_.wvu.Cols" localSheetId="6" hidden="1">CAPEX!$AQ:$XFD</definedName>
    <definedName name="Z_7D5A2C9F_3ABE_4F29_B54C_C3E3AA98CA69_.wvu.Cols" localSheetId="7" hidden="1">CAPEX_long!$AL:$XFD</definedName>
    <definedName name="Z_7D5A2C9F_3ABE_4F29_B54C_C3E3AA98CA69_.wvu.Cols" localSheetId="9" hidden="1">CF!$AQ:$XFD</definedName>
    <definedName name="Z_7D5A2C9F_3ABE_4F29_B54C_C3E3AA98CA69_.wvu.Cols" localSheetId="4" hidden="1">OPEX!$AQ:$XFD</definedName>
    <definedName name="Z_7D5A2C9F_3ABE_4F29_B54C_C3E3AA98CA69_.wvu.Cols" localSheetId="5" hidden="1">OPEX_long!$AL:$XFD</definedName>
    <definedName name="Z_7D5A2C9F_3ABE_4F29_B54C_C3E3AA98CA69_.wvu.Cols" localSheetId="3" hidden="1">Баланс_ресурсов!$AL:$XFD</definedName>
    <definedName name="Z_7D5A2C9F_3ABE_4F29_B54C_C3E3AA98CA69_.wvu.Cols" localSheetId="2" hidden="1">Выручка!$AQ:$XFD</definedName>
    <definedName name="Z_7D5A2C9F_3ABE_4F29_B54C_C3E3AA98CA69_.wvu.Cols" localSheetId="8" hidden="1">Источники_Долг_WACC!$AP:$XFD</definedName>
    <definedName name="Z_7D5A2C9F_3ABE_4F29_B54C_C3E3AA98CA69_.wvu.PrintArea" localSheetId="6" hidden="1">CAPEX!$B$1:$AO$8</definedName>
    <definedName name="Z_7D5A2C9F_3ABE_4F29_B54C_C3E3AA98CA69_.wvu.PrintArea" localSheetId="7" hidden="1">CAPEX_long!$B$1:$AJ$2</definedName>
    <definedName name="Z_7D5A2C9F_3ABE_4F29_B54C_C3E3AA98CA69_.wvu.PrintArea" localSheetId="9" hidden="1">CF!$B$1:$AO$57</definedName>
    <definedName name="Z_7D5A2C9F_3ABE_4F29_B54C_C3E3AA98CA69_.wvu.PrintArea" localSheetId="4" hidden="1">OPEX!$B$1:$AO$14</definedName>
    <definedName name="Z_7D5A2C9F_3ABE_4F29_B54C_C3E3AA98CA69_.wvu.PrintArea" localSheetId="5" hidden="1">OPEX_long!$B$1:$AJ$36</definedName>
    <definedName name="Z_7D5A2C9F_3ABE_4F29_B54C_C3E3AA98CA69_.wvu.PrintArea" localSheetId="3" hidden="1">Баланс_ресурсов!$B$1:$AJ$18</definedName>
    <definedName name="Z_7D5A2C9F_3ABE_4F29_B54C_C3E3AA98CA69_.wvu.PrintArea" localSheetId="2" hidden="1">Выручка!$B$1:$AO$44</definedName>
    <definedName name="Z_7D5A2C9F_3ABE_4F29_B54C_C3E3AA98CA69_.wvu.PrintArea" localSheetId="8" hidden="1">Источники_Долг_WACC!$B$1:$AO$96</definedName>
    <definedName name="Z_7D5A2C9F_3ABE_4F29_B54C_C3E3AA98CA69_.wvu.PrintArea" localSheetId="1" hidden="1">Содержание!$C$2:$F$10</definedName>
    <definedName name="Z_7D5A2C9F_3ABE_4F29_B54C_C3E3AA98CA69_.wvu.PrintArea" localSheetId="10" hidden="1">Табло!$B$1:$J$38</definedName>
    <definedName name="Z_7D5A2C9F_3ABE_4F29_B54C_C3E3AA98CA69_.wvu.PrintArea" localSheetId="0" hidden="1">Титул!$A$1:$J$44</definedName>
    <definedName name="Z_7D5A2C9F_3ABE_4F29_B54C_C3E3AA98CA69_.wvu.PrintTitles" localSheetId="9" hidden="1">CF!$B:$J</definedName>
    <definedName name="Z_7D5A2C9F_3ABE_4F29_B54C_C3E3AA98CA69_.wvu.PrintTitles" localSheetId="4" hidden="1">OPEX!$B:$J</definedName>
    <definedName name="Z_7D5A2C9F_3ABE_4F29_B54C_C3E3AA98CA69_.wvu.PrintTitles" localSheetId="2" hidden="1">Выручка!$B:$J</definedName>
    <definedName name="Z_7D5A2C9F_3ABE_4F29_B54C_C3E3AA98CA69_.wvu.PrintTitles" localSheetId="8" hidden="1">Источники_Долг_WACC!$B:$J</definedName>
    <definedName name="Z_7D5A2C9F_3ABE_4F29_B54C_C3E3AA98CA69_.wvu.Rows" localSheetId="9" hidden="1">CF!$6:$7</definedName>
    <definedName name="Z_7D5A2C9F_3ABE_4F29_B54C_C3E3AA98CA69_.wvu.Rows" localSheetId="2" hidden="1">Выручка!$41:$44</definedName>
    <definedName name="Z_7D5A2C9F_3ABE_4F29_B54C_C3E3AA98CA69_.wvu.Rows" localSheetId="8" hidden="1">Источники_Долг_WACC!$24:$40</definedName>
    <definedName name="_xlnm.Print_Titles" localSheetId="9">CF!$B:$J</definedName>
    <definedName name="_xlnm.Print_Titles" localSheetId="4">OPEX!$B:$J</definedName>
    <definedName name="_xlnm.Print_Titles" localSheetId="2">Выручка!$B:$J</definedName>
    <definedName name="_xlnm.Print_Titles" localSheetId="8">Источники_Долг_WACC!$B:$J</definedName>
    <definedName name="_xlnm.Print_Area" localSheetId="6">CAPEX!$B$1:$AO$8</definedName>
    <definedName name="_xlnm.Print_Area" localSheetId="7">CAPEX_long!$B$1:$AJ$2</definedName>
    <definedName name="_xlnm.Print_Area" localSheetId="9">CF!$B$1:$AO$57</definedName>
    <definedName name="_xlnm.Print_Area" localSheetId="4">OPEX!$B$1:$AO$14</definedName>
    <definedName name="_xlnm.Print_Area" localSheetId="5">OPEX_long!$B$1:$AJ$36</definedName>
    <definedName name="_xlnm.Print_Area" localSheetId="3">Баланс_ресурсов!$B$1:$AJ$18</definedName>
    <definedName name="_xlnm.Print_Area" localSheetId="2">Выручка!$B$1:$AO$44</definedName>
    <definedName name="_xlnm.Print_Area" localSheetId="8">Источники_Долг_WACC!$B$1:$AO$96</definedName>
    <definedName name="_xlnm.Print_Area" localSheetId="1">Содержание!$C$2:$F$10</definedName>
    <definedName name="_xlnm.Print_Area" localSheetId="10">Табло!$B$1:$J$38</definedName>
    <definedName name="_xlnm.Print_Area" localSheetId="0">Титул!$A$1:$J$44</definedName>
  </definedNames>
  <calcPr calcId="125725"/>
  <customWorkbookViews>
    <customWorkbookView name="Ананян - Личное представление" guid="{7D5A2C9F-3ABE-4F29-B54C-C3E3AA98CA69}" mergeInterval="0" personalView="1" maximized="1" xWindow="1" yWindow="1" windowWidth="1916" windowHeight="850" activeSheetId="9"/>
  </customWorkbookViews>
</workbook>
</file>

<file path=xl/calcChain.xml><?xml version="1.0" encoding="utf-8"?>
<calcChain xmlns="http://schemas.openxmlformats.org/spreadsheetml/2006/main">
  <c r="M11" i="7"/>
  <c r="N11"/>
  <c r="O11"/>
  <c r="L11"/>
  <c r="J17" i="11"/>
  <c r="I11" l="1"/>
  <c r="J11"/>
  <c r="AO15" i="10" l="1"/>
  <c r="AM15"/>
  <c r="AK15"/>
  <c r="AI15"/>
  <c r="AG15"/>
  <c r="AE15"/>
  <c r="AC15"/>
  <c r="Z15"/>
  <c r="X15"/>
  <c r="V15"/>
  <c r="T15"/>
  <c r="R15"/>
  <c r="P15"/>
  <c r="N15"/>
  <c r="L15"/>
  <c r="AN15"/>
  <c r="AL15"/>
  <c r="AJ15"/>
  <c r="AH15"/>
  <c r="AF15"/>
  <c r="AD15"/>
  <c r="AB15"/>
  <c r="Y15"/>
  <c r="W15"/>
  <c r="U15"/>
  <c r="S15"/>
  <c r="Q15"/>
  <c r="O15"/>
  <c r="M15"/>
  <c r="H82" i="9" l="1"/>
  <c r="H91" s="1"/>
  <c r="J91" s="1"/>
  <c r="L65"/>
  <c r="L57"/>
  <c r="L59" s="1"/>
  <c r="L67"/>
  <c r="O23"/>
  <c r="K21" i="12" s="1"/>
  <c r="N23" i="9"/>
  <c r="N29" i="10" s="1"/>
  <c r="M23" i="9"/>
  <c r="I21" i="12" s="1"/>
  <c r="L23" i="9"/>
  <c r="L29" i="10" s="1"/>
  <c r="M7" i="5"/>
  <c r="N7" s="1"/>
  <c r="O7" s="1"/>
  <c r="P7" s="1"/>
  <c r="M2"/>
  <c r="N2" s="1"/>
  <c r="J64" i="9"/>
  <c r="J63"/>
  <c r="J56"/>
  <c r="J55"/>
  <c r="J9"/>
  <c r="J2" i="7"/>
  <c r="J8" i="5"/>
  <c r="J6"/>
  <c r="J5"/>
  <c r="J4"/>
  <c r="J3"/>
  <c r="J38" i="3"/>
  <c r="J37"/>
  <c r="D4" i="11"/>
  <c r="M23" i="10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L23"/>
  <c r="M10" i="5"/>
  <c r="M11" s="1"/>
  <c r="M13" s="1"/>
  <c r="M14" s="1"/>
  <c r="M4" i="10" s="1"/>
  <c r="L10" i="5"/>
  <c r="L11" s="1"/>
  <c r="M26" i="10"/>
  <c r="L26"/>
  <c r="H21" i="12"/>
  <c r="I20"/>
  <c r="H20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L17" i="10"/>
  <c r="L19"/>
  <c r="M17"/>
  <c r="N17"/>
  <c r="O17"/>
  <c r="I9" i="11" s="1"/>
  <c r="P17" i="10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J30"/>
  <c r="J27"/>
  <c r="J24"/>
  <c r="J22"/>
  <c r="J7"/>
  <c r="J6"/>
  <c r="H94" i="9"/>
  <c r="J93"/>
  <c r="H92"/>
  <c r="H85"/>
  <c r="H83"/>
  <c r="L77"/>
  <c r="L71"/>
  <c r="L32" i="10" s="1"/>
  <c r="M62" i="9"/>
  <c r="M65" s="1"/>
  <c r="M54"/>
  <c r="M57" s="1"/>
  <c r="AO2"/>
  <c r="AO6" s="1"/>
  <c r="AO47" s="1"/>
  <c r="AO70" s="1"/>
  <c r="AO31" i="10" s="1"/>
  <c r="AN2" i="9"/>
  <c r="AN3" s="1"/>
  <c r="AN11" s="1"/>
  <c r="AM2"/>
  <c r="AM3" s="1"/>
  <c r="AM11" s="1"/>
  <c r="AL2"/>
  <c r="AL3" s="1"/>
  <c r="AL11" s="1"/>
  <c r="AK2"/>
  <c r="AK3" s="1"/>
  <c r="AK11" s="1"/>
  <c r="AJ2"/>
  <c r="AJ3" s="1"/>
  <c r="AJ11" s="1"/>
  <c r="AI2"/>
  <c r="AI3" s="1"/>
  <c r="AI11" s="1"/>
  <c r="AH2"/>
  <c r="AH3" s="1"/>
  <c r="AH11" s="1"/>
  <c r="AG2"/>
  <c r="AG3" s="1"/>
  <c r="AG11" s="1"/>
  <c r="AF2"/>
  <c r="AF3" s="1"/>
  <c r="AF11" s="1"/>
  <c r="AE2"/>
  <c r="AE3" s="1"/>
  <c r="AE11" s="1"/>
  <c r="AD2"/>
  <c r="AD3" s="1"/>
  <c r="AD11" s="1"/>
  <c r="AC2"/>
  <c r="AC3" s="1"/>
  <c r="AC11" s="1"/>
  <c r="AB2"/>
  <c r="AB3" s="1"/>
  <c r="AB11" s="1"/>
  <c r="AA2"/>
  <c r="AA3" s="1"/>
  <c r="AA11" s="1"/>
  <c r="Z2"/>
  <c r="Z3" s="1"/>
  <c r="Z11" s="1"/>
  <c r="Y2"/>
  <c r="Y3" s="1"/>
  <c r="Y11" s="1"/>
  <c r="X2"/>
  <c r="X3" s="1"/>
  <c r="X11" s="1"/>
  <c r="W2"/>
  <c r="W3" s="1"/>
  <c r="W11" s="1"/>
  <c r="V2"/>
  <c r="V3" s="1"/>
  <c r="V11" s="1"/>
  <c r="U2"/>
  <c r="U3" s="1"/>
  <c r="U11" s="1"/>
  <c r="T2"/>
  <c r="T3" s="1"/>
  <c r="T11" s="1"/>
  <c r="S2"/>
  <c r="S3" s="1"/>
  <c r="S11" s="1"/>
  <c r="R2"/>
  <c r="R3" s="1"/>
  <c r="R11" s="1"/>
  <c r="Q2"/>
  <c r="Q3" s="1"/>
  <c r="Q11" s="1"/>
  <c r="P2"/>
  <c r="P3" s="1"/>
  <c r="P11" s="1"/>
  <c r="O2"/>
  <c r="O3" s="1"/>
  <c r="O11" s="1"/>
  <c r="N2"/>
  <c r="M2"/>
  <c r="L2"/>
  <c r="L6" s="1"/>
  <c r="L11" i="8"/>
  <c r="L13" s="1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J11" s="1"/>
  <c r="AJ13" s="1"/>
  <c r="AJ6"/>
  <c r="AI6"/>
  <c r="AJ8" s="1"/>
  <c r="AH6"/>
  <c r="AI8" s="1"/>
  <c r="AG6"/>
  <c r="AH8" s="1"/>
  <c r="AF6"/>
  <c r="AG8" s="1"/>
  <c r="AE6"/>
  <c r="AF8" s="1"/>
  <c r="AD6"/>
  <c r="AE8" s="1"/>
  <c r="AC6"/>
  <c r="AD8" s="1"/>
  <c r="AB6"/>
  <c r="AC8" s="1"/>
  <c r="AA6"/>
  <c r="AB8" s="1"/>
  <c r="Z6"/>
  <c r="AA8" s="1"/>
  <c r="Y6"/>
  <c r="Z8" s="1"/>
  <c r="X6"/>
  <c r="Y8" s="1"/>
  <c r="W6"/>
  <c r="X8" s="1"/>
  <c r="V6"/>
  <c r="W8" s="1"/>
  <c r="U6"/>
  <c r="V8" s="1"/>
  <c r="T6"/>
  <c r="U8" s="1"/>
  <c r="S6"/>
  <c r="T8" s="1"/>
  <c r="R6"/>
  <c r="S8" s="1"/>
  <c r="Q6"/>
  <c r="R8" s="1"/>
  <c r="P6"/>
  <c r="Q8" s="1"/>
  <c r="O6"/>
  <c r="P8" s="1"/>
  <c r="N6"/>
  <c r="O8" s="1"/>
  <c r="M6"/>
  <c r="N8" s="1"/>
  <c r="L6"/>
  <c r="M8" s="1"/>
  <c r="J6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J4"/>
  <c r="J2"/>
  <c r="AO6" i="7"/>
  <c r="AN6"/>
  <c r="AO8" s="1"/>
  <c r="AO19" i="10" s="1"/>
  <c r="AM6" i="7"/>
  <c r="AN8" s="1"/>
  <c r="AN19" i="10" s="1"/>
  <c r="AL6" i="7"/>
  <c r="AM8" s="1"/>
  <c r="AM19" i="10" s="1"/>
  <c r="AK6" i="7"/>
  <c r="AL8" s="1"/>
  <c r="AL19" i="10" s="1"/>
  <c r="AJ6" i="7"/>
  <c r="AK8" s="1"/>
  <c r="AK19" i="10" s="1"/>
  <c r="AI6" i="7"/>
  <c r="AJ8" s="1"/>
  <c r="AJ19" i="10" s="1"/>
  <c r="AH6" i="7"/>
  <c r="AI8" s="1"/>
  <c r="AI19" i="10" s="1"/>
  <c r="AG6" i="7"/>
  <c r="AH8" s="1"/>
  <c r="AH19" i="10" s="1"/>
  <c r="AF6" i="7"/>
  <c r="AG8" s="1"/>
  <c r="AG19" i="10" s="1"/>
  <c r="AE6" i="7"/>
  <c r="AF8" s="1"/>
  <c r="AF19" i="10" s="1"/>
  <c r="AD6" i="7"/>
  <c r="AE8" s="1"/>
  <c r="AE19" i="10" s="1"/>
  <c r="AC6" i="7"/>
  <c r="AD8" s="1"/>
  <c r="AD19" i="10" s="1"/>
  <c r="AB6" i="7"/>
  <c r="AC8" s="1"/>
  <c r="AC19" i="10" s="1"/>
  <c r="AA6" i="7"/>
  <c r="AB8" s="1"/>
  <c r="AB19" i="10" s="1"/>
  <c r="Z6" i="7"/>
  <c r="AA8" s="1"/>
  <c r="AA19" i="10" s="1"/>
  <c r="Y6" i="7"/>
  <c r="Z8" s="1"/>
  <c r="Z19" i="10" s="1"/>
  <c r="X6" i="7"/>
  <c r="Y8" s="1"/>
  <c r="Y19" i="10" s="1"/>
  <c r="W6" i="7"/>
  <c r="X8" s="1"/>
  <c r="X19" i="10" s="1"/>
  <c r="V6" i="7"/>
  <c r="W8" s="1"/>
  <c r="W19" i="10" s="1"/>
  <c r="U6" i="7"/>
  <c r="V8" s="1"/>
  <c r="V19" i="10" s="1"/>
  <c r="T6" i="7"/>
  <c r="U8" s="1"/>
  <c r="U19" i="10" s="1"/>
  <c r="S6" i="7"/>
  <c r="T8" s="1"/>
  <c r="T19" i="10" s="1"/>
  <c r="R6" i="7"/>
  <c r="S8" s="1"/>
  <c r="S19" i="10" s="1"/>
  <c r="Q6" i="7"/>
  <c r="R8" s="1"/>
  <c r="R19" i="10" s="1"/>
  <c r="P6" i="7"/>
  <c r="Q8" s="1"/>
  <c r="Q19" i="10" s="1"/>
  <c r="O6" i="7"/>
  <c r="P8" s="1"/>
  <c r="P19" i="10" s="1"/>
  <c r="N6" i="7"/>
  <c r="O8" s="1"/>
  <c r="O19" i="10" s="1"/>
  <c r="M6" i="7"/>
  <c r="N8" s="1"/>
  <c r="N19" i="10" s="1"/>
  <c r="L6" i="7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M50" i="6"/>
  <c r="N50" s="1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AH50" s="1"/>
  <c r="AI50" s="1"/>
  <c r="AJ50" s="1"/>
  <c r="AJ3" i="4"/>
  <c r="AJ2"/>
  <c r="AJ4" i="6" s="1"/>
  <c r="AJ3" s="1"/>
  <c r="AI3" i="4"/>
  <c r="AI2"/>
  <c r="AI4" i="6" s="1"/>
  <c r="AI3" s="1"/>
  <c r="AH3" i="4"/>
  <c r="AH2"/>
  <c r="AH4" i="6" s="1"/>
  <c r="AH3" s="1"/>
  <c r="AG3" i="4"/>
  <c r="AG2"/>
  <c r="AG4" i="6" s="1"/>
  <c r="AG3" s="1"/>
  <c r="AF3" i="4"/>
  <c r="AF2"/>
  <c r="AF4" i="6" s="1"/>
  <c r="AF3" s="1"/>
  <c r="AE3" i="4"/>
  <c r="AE2"/>
  <c r="AE4" i="6" s="1"/>
  <c r="AE3" s="1"/>
  <c r="AD3" i="4"/>
  <c r="AD2"/>
  <c r="AD4" i="6" s="1"/>
  <c r="AD3" s="1"/>
  <c r="AC3" i="4"/>
  <c r="AC2" s="1"/>
  <c r="AC4" i="6" s="1"/>
  <c r="AC3" s="1"/>
  <c r="AB3" i="4"/>
  <c r="AB2" s="1"/>
  <c r="AB4" i="6" s="1"/>
  <c r="AB3" s="1"/>
  <c r="AA3" i="4"/>
  <c r="AA2" s="1"/>
  <c r="AA4" i="6" s="1"/>
  <c r="AA3" s="1"/>
  <c r="Z3" i="4"/>
  <c r="Z2" s="1"/>
  <c r="Z4" i="6" s="1"/>
  <c r="Z3" s="1"/>
  <c r="Y3" i="4"/>
  <c r="Y2" s="1"/>
  <c r="Y4" i="6" s="1"/>
  <c r="Y3" s="1"/>
  <c r="X3" i="4"/>
  <c r="X2" s="1"/>
  <c r="X4" i="6" s="1"/>
  <c r="X3" s="1"/>
  <c r="W3" i="4"/>
  <c r="W2" s="1"/>
  <c r="W4" i="6" s="1"/>
  <c r="W3" s="1"/>
  <c r="V3" i="4"/>
  <c r="V2" s="1"/>
  <c r="V4" i="6" s="1"/>
  <c r="V3" s="1"/>
  <c r="U3" i="4"/>
  <c r="U2"/>
  <c r="U4" i="6" s="1"/>
  <c r="U3" s="1"/>
  <c r="T3" i="4"/>
  <c r="T2" s="1"/>
  <c r="S3"/>
  <c r="S2" s="1"/>
  <c r="R3"/>
  <c r="R2" s="1"/>
  <c r="Q3"/>
  <c r="Q2" s="1"/>
  <c r="P3"/>
  <c r="P2" s="1"/>
  <c r="O3"/>
  <c r="O2" s="1"/>
  <c r="N3"/>
  <c r="N2" s="1"/>
  <c r="M3"/>
  <c r="M2" s="1"/>
  <c r="L3"/>
  <c r="L2" s="1"/>
  <c r="M42" i="6"/>
  <c r="N42" s="1"/>
  <c r="M4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J40"/>
  <c r="J39"/>
  <c r="M36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M35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M34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M33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H33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H31"/>
  <c r="H27"/>
  <c r="H25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H23"/>
  <c r="H19"/>
  <c r="H17"/>
  <c r="H15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H13"/>
  <c r="H9"/>
  <c r="H7"/>
  <c r="H5"/>
  <c r="AJ21" i="4"/>
  <c r="AI21"/>
  <c r="AH21"/>
  <c r="AG21"/>
  <c r="AF21"/>
  <c r="AE21"/>
  <c r="AD21"/>
  <c r="AC21"/>
  <c r="AB21"/>
  <c r="AA21"/>
  <c r="Z21"/>
  <c r="Y21"/>
  <c r="X21"/>
  <c r="W21"/>
  <c r="V21"/>
  <c r="U21"/>
  <c r="H17"/>
  <c r="H16"/>
  <c r="H15"/>
  <c r="H13"/>
  <c r="H10"/>
  <c r="H9"/>
  <c r="H8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H5"/>
  <c r="H4"/>
  <c r="H3"/>
  <c r="AN44" i="3"/>
  <c r="AM44"/>
  <c r="AL44"/>
  <c r="AK44"/>
  <c r="AJ44"/>
  <c r="AJ15" i="4" s="1"/>
  <c r="AI44" i="3"/>
  <c r="AI15" i="4" s="1"/>
  <c r="AH44" i="3"/>
  <c r="AH15" i="4" s="1"/>
  <c r="AG44" i="3"/>
  <c r="AG15" i="4" s="1"/>
  <c r="AF44" i="3"/>
  <c r="AF15" i="4" s="1"/>
  <c r="AE44" i="3"/>
  <c r="AE15" i="4" s="1"/>
  <c r="AD44" i="3"/>
  <c r="AD15" i="4" s="1"/>
  <c r="AC44" i="3"/>
  <c r="AC15" i="4" s="1"/>
  <c r="AB44" i="3"/>
  <c r="AB15" i="4" s="1"/>
  <c r="AA44" i="3"/>
  <c r="AA15" i="4" s="1"/>
  <c r="Z44" i="3"/>
  <c r="Z15" i="4" s="1"/>
  <c r="Y44" i="3"/>
  <c r="Y15" i="4" s="1"/>
  <c r="X44" i="3"/>
  <c r="X15" i="4" s="1"/>
  <c r="W44" i="3"/>
  <c r="W15" i="4" s="1"/>
  <c r="V44" i="3"/>
  <c r="V15" i="4" s="1"/>
  <c r="U44" i="3"/>
  <c r="U15" i="4" s="1"/>
  <c r="T44" i="3"/>
  <c r="T15" i="4" s="1"/>
  <c r="S44" i="3"/>
  <c r="S15" i="4" s="1"/>
  <c r="R44" i="3"/>
  <c r="R15" i="4" s="1"/>
  <c r="Q44" i="3"/>
  <c r="Q15" i="4" s="1"/>
  <c r="P44" i="3"/>
  <c r="P15" i="4" s="1"/>
  <c r="O44" i="3"/>
  <c r="O15" i="4" s="1"/>
  <c r="N44" i="3"/>
  <c r="N15" i="4" s="1"/>
  <c r="M44" i="3"/>
  <c r="M15" i="4" s="1"/>
  <c r="L44" i="3"/>
  <c r="L15" i="4" s="1"/>
  <c r="AN43" i="3"/>
  <c r="AM43"/>
  <c r="AL43"/>
  <c r="AK43"/>
  <c r="AJ43"/>
  <c r="AJ13" i="4" s="1"/>
  <c r="AJ12" s="1"/>
  <c r="AI43" i="3"/>
  <c r="AI13" i="4" s="1"/>
  <c r="AI12" s="1"/>
  <c r="AH43" i="3"/>
  <c r="AH13" i="4" s="1"/>
  <c r="AH12" s="1"/>
  <c r="AG43" i="3"/>
  <c r="AG13" i="4" s="1"/>
  <c r="AG12" s="1"/>
  <c r="AF43" i="3"/>
  <c r="AF13" i="4" s="1"/>
  <c r="AF12" s="1"/>
  <c r="AE43" i="3"/>
  <c r="AE13" i="4" s="1"/>
  <c r="AE12" s="1"/>
  <c r="AD43" i="3"/>
  <c r="AD13" i="4" s="1"/>
  <c r="AD12" s="1"/>
  <c r="AC43" i="3"/>
  <c r="AC13" i="4" s="1"/>
  <c r="AC12" s="1"/>
  <c r="AB43" i="3"/>
  <c r="AB13" i="4" s="1"/>
  <c r="AB12" s="1"/>
  <c r="AA43" i="3"/>
  <c r="AA13" i="4" s="1"/>
  <c r="AA12" s="1"/>
  <c r="Z43" i="3"/>
  <c r="Z13" i="4" s="1"/>
  <c r="Z12" s="1"/>
  <c r="Y43" i="3"/>
  <c r="Y13" i="4" s="1"/>
  <c r="Y12" s="1"/>
  <c r="X43" i="3"/>
  <c r="X13" i="4" s="1"/>
  <c r="X12" s="1"/>
  <c r="W43" i="3"/>
  <c r="W13" i="4" s="1"/>
  <c r="W12" s="1"/>
  <c r="V43" i="3"/>
  <c r="V13" i="4" s="1"/>
  <c r="V12" s="1"/>
  <c r="U43" i="3"/>
  <c r="U13" i="4" s="1"/>
  <c r="U12" s="1"/>
  <c r="T43" i="3"/>
  <c r="T13" i="4" s="1"/>
  <c r="T12" s="1"/>
  <c r="S43" i="3"/>
  <c r="S13" i="4" s="1"/>
  <c r="S12" s="1"/>
  <c r="R43" i="3"/>
  <c r="R13" i="4" s="1"/>
  <c r="R12" s="1"/>
  <c r="Q43" i="3"/>
  <c r="Q13" i="4" s="1"/>
  <c r="Q12" s="1"/>
  <c r="P43" i="3"/>
  <c r="P13" i="4" s="1"/>
  <c r="P12" s="1"/>
  <c r="O43" i="3"/>
  <c r="O13" i="4" s="1"/>
  <c r="O12" s="1"/>
  <c r="N43" i="3"/>
  <c r="N13" i="4" s="1"/>
  <c r="N12" s="1"/>
  <c r="M43" i="3"/>
  <c r="M13" i="4" s="1"/>
  <c r="M12" s="1"/>
  <c r="L43" i="3"/>
  <c r="L13" i="4" s="1"/>
  <c r="L12" s="1"/>
  <c r="H43" i="3"/>
  <c r="AN42"/>
  <c r="AM42"/>
  <c r="AL42"/>
  <c r="AK42"/>
  <c r="AJ42"/>
  <c r="AJ8" i="4" s="1"/>
  <c r="AJ7" s="1"/>
  <c r="AJ12" i="6" s="1"/>
  <c r="AJ11" s="1"/>
  <c r="AI42" i="3"/>
  <c r="AI8" i="4" s="1"/>
  <c r="AI7" s="1"/>
  <c r="AI12" i="6" s="1"/>
  <c r="AI11" s="1"/>
  <c r="AH42" i="3"/>
  <c r="AH8" i="4" s="1"/>
  <c r="AH7" s="1"/>
  <c r="AH12" i="6" s="1"/>
  <c r="AH11" s="1"/>
  <c r="AG42" i="3"/>
  <c r="AG8" i="4" s="1"/>
  <c r="AG7" s="1"/>
  <c r="AG12" i="6" s="1"/>
  <c r="AG11" s="1"/>
  <c r="AF42" i="3"/>
  <c r="AF8" i="4" s="1"/>
  <c r="AF7" s="1"/>
  <c r="AF12" i="6" s="1"/>
  <c r="AF11" s="1"/>
  <c r="AE42" i="3"/>
  <c r="AE8" i="4" s="1"/>
  <c r="AE7" s="1"/>
  <c r="AE12" i="6" s="1"/>
  <c r="AE11" s="1"/>
  <c r="AD42" i="3"/>
  <c r="AD8" i="4" s="1"/>
  <c r="AD7" s="1"/>
  <c r="AD12" i="6" s="1"/>
  <c r="AD11" s="1"/>
  <c r="AC42" i="3"/>
  <c r="AC8" i="4" s="1"/>
  <c r="AC7" s="1"/>
  <c r="AC12" i="6" s="1"/>
  <c r="AC11" s="1"/>
  <c r="AB42" i="3"/>
  <c r="AB8" i="4" s="1"/>
  <c r="AB7" s="1"/>
  <c r="AB12" i="6" s="1"/>
  <c r="AB11" s="1"/>
  <c r="AA42" i="3"/>
  <c r="AA8" i="4" s="1"/>
  <c r="AA7" s="1"/>
  <c r="AA12" i="6" s="1"/>
  <c r="AA11" s="1"/>
  <c r="Z42" i="3"/>
  <c r="Z8" i="4" s="1"/>
  <c r="Z7" s="1"/>
  <c r="Z12" i="6" s="1"/>
  <c r="Z11" s="1"/>
  <c r="Y42" i="3"/>
  <c r="Y8" i="4" s="1"/>
  <c r="Y7" s="1"/>
  <c r="Y12" i="6" s="1"/>
  <c r="Y11" s="1"/>
  <c r="X42" i="3"/>
  <c r="X8" i="4" s="1"/>
  <c r="X7" s="1"/>
  <c r="X12" i="6" s="1"/>
  <c r="X11" s="1"/>
  <c r="W42" i="3"/>
  <c r="W8" i="4" s="1"/>
  <c r="W7" s="1"/>
  <c r="W12" i="6" s="1"/>
  <c r="W11" s="1"/>
  <c r="V42" i="3"/>
  <c r="V8" i="4" s="1"/>
  <c r="V7" s="1"/>
  <c r="V12" i="6" s="1"/>
  <c r="V11" s="1"/>
  <c r="U42" i="3"/>
  <c r="U8" i="4" s="1"/>
  <c r="U7" s="1"/>
  <c r="U12" i="6" s="1"/>
  <c r="U11" s="1"/>
  <c r="T42" i="3"/>
  <c r="T8" i="4" s="1"/>
  <c r="T7" s="1"/>
  <c r="T12" i="6" s="1"/>
  <c r="T11" s="1"/>
  <c r="S42" i="3"/>
  <c r="S8" i="4" s="1"/>
  <c r="S7" s="1"/>
  <c r="S12" i="6" s="1"/>
  <c r="S11" s="1"/>
  <c r="R42" i="3"/>
  <c r="R8" i="4" s="1"/>
  <c r="R7" s="1"/>
  <c r="R12" i="6" s="1"/>
  <c r="R11" s="1"/>
  <c r="Q42" i="3"/>
  <c r="Q8" i="4" s="1"/>
  <c r="Q7" s="1"/>
  <c r="Q12" i="6" s="1"/>
  <c r="Q11" s="1"/>
  <c r="P42" i="3"/>
  <c r="P8" i="4" s="1"/>
  <c r="P7" s="1"/>
  <c r="P12" i="6" s="1"/>
  <c r="P11" s="1"/>
  <c r="O42" i="3"/>
  <c r="O8" i="4" s="1"/>
  <c r="O7" s="1"/>
  <c r="O12" i="6" s="1"/>
  <c r="O11" s="1"/>
  <c r="N42" i="3"/>
  <c r="N8" i="4" s="1"/>
  <c r="N7" s="1"/>
  <c r="N12" i="6" s="1"/>
  <c r="N11" s="1"/>
  <c r="M42" i="3"/>
  <c r="M8" i="4" s="1"/>
  <c r="M7" s="1"/>
  <c r="M12" i="6" s="1"/>
  <c r="M11" s="1"/>
  <c r="L42" i="3"/>
  <c r="L8" i="4" s="1"/>
  <c r="L7" s="1"/>
  <c r="L12" i="6" s="1"/>
  <c r="L11" s="1"/>
  <c r="H42" i="3"/>
  <c r="H41"/>
  <c r="L29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L28"/>
  <c r="M25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H24"/>
  <c r="H44" s="1"/>
  <c r="M21"/>
  <c r="M22" s="1"/>
  <c r="M17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H16"/>
  <c r="M13"/>
  <c r="M9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H8"/>
  <c r="M5"/>
  <c r="M6" s="1"/>
  <c r="C42" i="1"/>
  <c r="M29" i="10" l="1"/>
  <c r="M4" i="6"/>
  <c r="M3" s="1"/>
  <c r="M21" i="4"/>
  <c r="O4" i="6"/>
  <c r="O3" s="1"/>
  <c r="O21" i="4"/>
  <c r="Q4" i="6"/>
  <c r="Q3" s="1"/>
  <c r="Q21" i="4"/>
  <c r="S4" i="6"/>
  <c r="S3" s="1"/>
  <c r="S21" i="4"/>
  <c r="L4" i="6"/>
  <c r="L3" s="1"/>
  <c r="J3" s="1"/>
  <c r="L21" i="4"/>
  <c r="N4" i="6"/>
  <c r="N3" s="1"/>
  <c r="N21" i="4"/>
  <c r="P4" i="6"/>
  <c r="P3" s="1"/>
  <c r="P21" i="4"/>
  <c r="R4" i="6"/>
  <c r="R3" s="1"/>
  <c r="R21" i="4"/>
  <c r="T4" i="6"/>
  <c r="T3" s="1"/>
  <c r="T21" i="4"/>
  <c r="L33" i="3"/>
  <c r="L36" s="1"/>
  <c r="J11" i="6"/>
  <c r="O42"/>
  <c r="P42" s="1"/>
  <c r="Q42" s="1"/>
  <c r="R42" s="1"/>
  <c r="S42" s="1"/>
  <c r="T42" s="1"/>
  <c r="U42" s="1"/>
  <c r="V42" s="1"/>
  <c r="W42" s="1"/>
  <c r="X42" s="1"/>
  <c r="Y42" s="1"/>
  <c r="Z42" s="1"/>
  <c r="AA42" s="1"/>
  <c r="AB42" s="1"/>
  <c r="AC42" s="1"/>
  <c r="AD42" s="1"/>
  <c r="AE42" s="1"/>
  <c r="AF42" s="1"/>
  <c r="AG42" s="1"/>
  <c r="AH42" s="1"/>
  <c r="AI42" s="1"/>
  <c r="AJ42" s="1"/>
  <c r="N5" i="3"/>
  <c r="N21"/>
  <c r="N22" s="1"/>
  <c r="L11" i="4"/>
  <c r="N11"/>
  <c r="P11"/>
  <c r="R11"/>
  <c r="T11"/>
  <c r="V11"/>
  <c r="X11"/>
  <c r="Z11"/>
  <c r="AB11"/>
  <c r="AD11"/>
  <c r="AF11"/>
  <c r="AH11"/>
  <c r="AJ11"/>
  <c r="L22"/>
  <c r="N22"/>
  <c r="P22"/>
  <c r="R22"/>
  <c r="T22"/>
  <c r="V22"/>
  <c r="X22"/>
  <c r="Z22"/>
  <c r="AB22"/>
  <c r="AD22"/>
  <c r="AF22"/>
  <c r="AH22"/>
  <c r="AJ22"/>
  <c r="N13" i="3"/>
  <c r="O13" s="1"/>
  <c r="P13" s="1"/>
  <c r="P14" s="1"/>
  <c r="M28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M11" i="4"/>
  <c r="O11"/>
  <c r="Q11"/>
  <c r="S11"/>
  <c r="U11"/>
  <c r="W11"/>
  <c r="Y11"/>
  <c r="AA11"/>
  <c r="AC11"/>
  <c r="AE11"/>
  <c r="AG11"/>
  <c r="AI11"/>
  <c r="M22"/>
  <c r="O22"/>
  <c r="Q22"/>
  <c r="S22"/>
  <c r="U22"/>
  <c r="W22"/>
  <c r="Y22"/>
  <c r="AA22"/>
  <c r="AC22"/>
  <c r="AE22"/>
  <c r="AG22"/>
  <c r="AI22"/>
  <c r="J8" i="8"/>
  <c r="J41" i="6"/>
  <c r="J10" i="8"/>
  <c r="M11"/>
  <c r="M13" s="1"/>
  <c r="O11"/>
  <c r="O13" s="1"/>
  <c r="Q11"/>
  <c r="Q13" s="1"/>
  <c r="S11"/>
  <c r="S13" s="1"/>
  <c r="U11"/>
  <c r="U13" s="1"/>
  <c r="W11"/>
  <c r="W13" s="1"/>
  <c r="Y11"/>
  <c r="Y13" s="1"/>
  <c r="AA11"/>
  <c r="AA13" s="1"/>
  <c r="AC11"/>
  <c r="AC13" s="1"/>
  <c r="AE11"/>
  <c r="AE13" s="1"/>
  <c r="AG11"/>
  <c r="AG13" s="1"/>
  <c r="AI11"/>
  <c r="AI13" s="1"/>
  <c r="N11"/>
  <c r="N13" s="1"/>
  <c r="P11"/>
  <c r="P13" s="1"/>
  <c r="R11"/>
  <c r="R13" s="1"/>
  <c r="T11"/>
  <c r="T13" s="1"/>
  <c r="V11"/>
  <c r="V13" s="1"/>
  <c r="X11"/>
  <c r="X13" s="1"/>
  <c r="Z11"/>
  <c r="Z13" s="1"/>
  <c r="AB11"/>
  <c r="AB13" s="1"/>
  <c r="AD11"/>
  <c r="AD13" s="1"/>
  <c r="AF11"/>
  <c r="AF13" s="1"/>
  <c r="AH11"/>
  <c r="AH13" s="1"/>
  <c r="H22" i="12"/>
  <c r="H28" s="1"/>
  <c r="N54" i="9"/>
  <c r="N57" s="1"/>
  <c r="N62"/>
  <c r="N65" s="1"/>
  <c r="O62" s="1"/>
  <c r="O65" s="1"/>
  <c r="M59"/>
  <c r="O29" i="10"/>
  <c r="J21" i="12"/>
  <c r="P25" i="10"/>
  <c r="L16" i="12"/>
  <c r="R25" i="10"/>
  <c r="N16" i="12"/>
  <c r="T25" i="10"/>
  <c r="P16" i="12"/>
  <c r="V25" i="10"/>
  <c r="R16" i="12"/>
  <c r="X25" i="10"/>
  <c r="T16" i="12"/>
  <c r="Z25" i="10"/>
  <c r="V16" i="12"/>
  <c r="AB25" i="10"/>
  <c r="X16" i="12"/>
  <c r="AD25" i="10"/>
  <c r="Z16" i="12"/>
  <c r="AF25" i="10"/>
  <c r="AB16" i="12"/>
  <c r="AH25" i="10"/>
  <c r="AD16" i="12"/>
  <c r="AJ25" i="10"/>
  <c r="AF16" i="12"/>
  <c r="AL25" i="10"/>
  <c r="AN25"/>
  <c r="K16" i="12"/>
  <c r="O25" i="10"/>
  <c r="M16" i="12"/>
  <c r="Q25" i="10"/>
  <c r="O16" i="12"/>
  <c r="S25" i="10"/>
  <c r="Q16" i="12"/>
  <c r="U25" i="10"/>
  <c r="S16" i="12"/>
  <c r="W25" i="10"/>
  <c r="U16" i="12"/>
  <c r="Y25" i="10"/>
  <c r="W16" i="12"/>
  <c r="AA25" i="10"/>
  <c r="Y16" i="12"/>
  <c r="AC25" i="10"/>
  <c r="AA16" i="12"/>
  <c r="AE25" i="10"/>
  <c r="AC16" i="12"/>
  <c r="AG25" i="10"/>
  <c r="AE16" i="12"/>
  <c r="AI25" i="10"/>
  <c r="AK25"/>
  <c r="AM25"/>
  <c r="O4" i="9"/>
  <c r="O18" s="1"/>
  <c r="O18" i="10" s="1"/>
  <c r="O20" s="1"/>
  <c r="Q4" i="9"/>
  <c r="Q18" s="1"/>
  <c r="Q18" i="10" s="1"/>
  <c r="Q20" s="1"/>
  <c r="S4" i="9"/>
  <c r="S18" s="1"/>
  <c r="S18" i="10" s="1"/>
  <c r="S20" s="1"/>
  <c r="U4" i="9"/>
  <c r="U18" s="1"/>
  <c r="U18" i="10" s="1"/>
  <c r="U20" s="1"/>
  <c r="W4" i="9"/>
  <c r="W18" s="1"/>
  <c r="W18" i="10" s="1"/>
  <c r="W20" s="1"/>
  <c r="Y4" i="9"/>
  <c r="Y18" s="1"/>
  <c r="Y18" i="10" s="1"/>
  <c r="Y20" s="1"/>
  <c r="AA4" i="9"/>
  <c r="AA18" s="1"/>
  <c r="AA18" i="10" s="1"/>
  <c r="AA20" s="1"/>
  <c r="AC4" i="9"/>
  <c r="AC18" s="1"/>
  <c r="AC18" i="10" s="1"/>
  <c r="AC20" s="1"/>
  <c r="AE4" i="9"/>
  <c r="AE18" s="1"/>
  <c r="AE18" i="10" s="1"/>
  <c r="AE20" s="1"/>
  <c r="AG4" i="9"/>
  <c r="AG18" s="1"/>
  <c r="AG18" i="10" s="1"/>
  <c r="AG20" s="1"/>
  <c r="AI4" i="9"/>
  <c r="AI18" s="1"/>
  <c r="AI18" i="10" s="1"/>
  <c r="AI20" s="1"/>
  <c r="AK4" i="9"/>
  <c r="AK18" s="1"/>
  <c r="AK18" i="10" s="1"/>
  <c r="AK20" s="1"/>
  <c r="AM4" i="9"/>
  <c r="AM18" s="1"/>
  <c r="AM18" i="10" s="1"/>
  <c r="AM20" s="1"/>
  <c r="AO4" i="9"/>
  <c r="AO18" s="1"/>
  <c r="AO18" i="10" s="1"/>
  <c r="AO20" s="1"/>
  <c r="P6" i="9"/>
  <c r="P47" s="1"/>
  <c r="P70" s="1"/>
  <c r="R6"/>
  <c r="R47" s="1"/>
  <c r="R70" s="1"/>
  <c r="T6"/>
  <c r="T47" s="1"/>
  <c r="T70" s="1"/>
  <c r="V6"/>
  <c r="V47" s="1"/>
  <c r="V70" s="1"/>
  <c r="X6"/>
  <c r="X47" s="1"/>
  <c r="X70" s="1"/>
  <c r="Z6"/>
  <c r="Z47" s="1"/>
  <c r="Z70" s="1"/>
  <c r="AB6"/>
  <c r="AB47" s="1"/>
  <c r="AB70" s="1"/>
  <c r="AD6"/>
  <c r="AD47" s="1"/>
  <c r="AD70" s="1"/>
  <c r="AF6"/>
  <c r="AF47" s="1"/>
  <c r="AF70" s="1"/>
  <c r="AH6"/>
  <c r="AH47" s="1"/>
  <c r="AH70" s="1"/>
  <c r="AJ6"/>
  <c r="AJ47" s="1"/>
  <c r="AJ70" s="1"/>
  <c r="AL6"/>
  <c r="AL47" s="1"/>
  <c r="AL70" s="1"/>
  <c r="AL31" i="10" s="1"/>
  <c r="AN6" i="9"/>
  <c r="AN47" s="1"/>
  <c r="AN70" s="1"/>
  <c r="AN31" i="10" s="1"/>
  <c r="AO5" i="9"/>
  <c r="AO22" s="1"/>
  <c r="AO28" i="10" s="1"/>
  <c r="AO3" i="9"/>
  <c r="AO11" s="1"/>
  <c r="P4"/>
  <c r="P18" s="1"/>
  <c r="P18" i="10" s="1"/>
  <c r="P20" s="1"/>
  <c r="R4" i="9"/>
  <c r="R18" s="1"/>
  <c r="R18" i="10" s="1"/>
  <c r="R20" s="1"/>
  <c r="T4" i="9"/>
  <c r="T18" s="1"/>
  <c r="T18" i="10" s="1"/>
  <c r="T20" s="1"/>
  <c r="V4" i="9"/>
  <c r="V18" s="1"/>
  <c r="V18" i="10" s="1"/>
  <c r="V20" s="1"/>
  <c r="X4" i="9"/>
  <c r="X18" s="1"/>
  <c r="X18" i="10" s="1"/>
  <c r="X20" s="1"/>
  <c r="Z4" i="9"/>
  <c r="Z18" s="1"/>
  <c r="Z18" i="10" s="1"/>
  <c r="Z20" s="1"/>
  <c r="AB4" i="9"/>
  <c r="AB18" s="1"/>
  <c r="AB18" i="10" s="1"/>
  <c r="AB20" s="1"/>
  <c r="AD4" i="9"/>
  <c r="AD18" s="1"/>
  <c r="AD18" i="10" s="1"/>
  <c r="AD20" s="1"/>
  <c r="AF4" i="9"/>
  <c r="AF18" s="1"/>
  <c r="AF18" i="10" s="1"/>
  <c r="AF20" s="1"/>
  <c r="AH4" i="9"/>
  <c r="AH18" s="1"/>
  <c r="AH18" i="10" s="1"/>
  <c r="AH20" s="1"/>
  <c r="AJ4" i="9"/>
  <c r="AJ18" s="1"/>
  <c r="AJ18" i="10" s="1"/>
  <c r="AJ20" s="1"/>
  <c r="AL4" i="9"/>
  <c r="AL18" s="1"/>
  <c r="AL18" i="10" s="1"/>
  <c r="AL20" s="1"/>
  <c r="AN4" i="9"/>
  <c r="AN18" s="1"/>
  <c r="AN18" i="10" s="1"/>
  <c r="AN20" s="1"/>
  <c r="O6" i="9"/>
  <c r="O47" s="1"/>
  <c r="O70" s="1"/>
  <c r="Q6"/>
  <c r="Q47" s="1"/>
  <c r="Q70" s="1"/>
  <c r="S6"/>
  <c r="S47" s="1"/>
  <c r="S70" s="1"/>
  <c r="U6"/>
  <c r="U47" s="1"/>
  <c r="U70" s="1"/>
  <c r="W6"/>
  <c r="W47" s="1"/>
  <c r="W70" s="1"/>
  <c r="Y6"/>
  <c r="Y47" s="1"/>
  <c r="Y70" s="1"/>
  <c r="AA6"/>
  <c r="AA47" s="1"/>
  <c r="AA70" s="1"/>
  <c r="AC6"/>
  <c r="AC47" s="1"/>
  <c r="AC70" s="1"/>
  <c r="AE6"/>
  <c r="AE47" s="1"/>
  <c r="AE70" s="1"/>
  <c r="AG6"/>
  <c r="AG47" s="1"/>
  <c r="AG70" s="1"/>
  <c r="AI6"/>
  <c r="AI47" s="1"/>
  <c r="AI70" s="1"/>
  <c r="AK6"/>
  <c r="AK47" s="1"/>
  <c r="AK70" s="1"/>
  <c r="AK31" i="10" s="1"/>
  <c r="AM6" i="9"/>
  <c r="AM47" s="1"/>
  <c r="AM70" s="1"/>
  <c r="AM31" i="10" s="1"/>
  <c r="J23"/>
  <c r="AN5" i="9"/>
  <c r="AN22" s="1"/>
  <c r="AN28" i="10" s="1"/>
  <c r="AM5" i="9"/>
  <c r="AM22" s="1"/>
  <c r="AM28" i="10" s="1"/>
  <c r="AL5" i="9"/>
  <c r="AL22" s="1"/>
  <c r="AL28" i="10" s="1"/>
  <c r="AK5" i="9"/>
  <c r="AK22" s="1"/>
  <c r="AK28" i="10" s="1"/>
  <c r="AJ5" i="9"/>
  <c r="AJ22" s="1"/>
  <c r="AI5"/>
  <c r="AI22" s="1"/>
  <c r="AH5"/>
  <c r="AH22" s="1"/>
  <c r="AG5"/>
  <c r="AG22" s="1"/>
  <c r="AG76" s="1"/>
  <c r="AF5"/>
  <c r="AF22" s="1"/>
  <c r="AE5"/>
  <c r="AE22" s="1"/>
  <c r="AD5"/>
  <c r="AD22" s="1"/>
  <c r="AC5"/>
  <c r="AC22" s="1"/>
  <c r="AC76" s="1"/>
  <c r="AB5"/>
  <c r="AB22" s="1"/>
  <c r="AA5"/>
  <c r="AA22" s="1"/>
  <c r="Z5"/>
  <c r="Z22" s="1"/>
  <c r="Y5"/>
  <c r="Y22" s="1"/>
  <c r="Y76" s="1"/>
  <c r="X5"/>
  <c r="X22" s="1"/>
  <c r="W5"/>
  <c r="W22" s="1"/>
  <c r="V5"/>
  <c r="V22" s="1"/>
  <c r="U5"/>
  <c r="U22" s="1"/>
  <c r="U76" s="1"/>
  <c r="T5"/>
  <c r="T22" s="1"/>
  <c r="S5"/>
  <c r="S22" s="1"/>
  <c r="R5"/>
  <c r="R22" s="1"/>
  <c r="V30" s="1"/>
  <c r="W30" s="1"/>
  <c r="Q5"/>
  <c r="Q22" s="1"/>
  <c r="P5"/>
  <c r="P22" s="1"/>
  <c r="T28" s="1"/>
  <c r="U28" s="1"/>
  <c r="O5"/>
  <c r="O22" s="1"/>
  <c r="J17" i="10"/>
  <c r="J4" i="7"/>
  <c r="J6"/>
  <c r="M8"/>
  <c r="J8" s="1"/>
  <c r="J2" i="9"/>
  <c r="F82" s="1"/>
  <c r="Q7" i="5"/>
  <c r="R7" s="1"/>
  <c r="S7" s="1"/>
  <c r="T7" s="1"/>
  <c r="U7" s="1"/>
  <c r="V7" s="1"/>
  <c r="W7" s="1"/>
  <c r="X7" s="1"/>
  <c r="Y7" s="1"/>
  <c r="Z7" s="1"/>
  <c r="O2"/>
  <c r="N10"/>
  <c r="N11" s="1"/>
  <c r="N13" s="1"/>
  <c r="N14" s="1"/>
  <c r="N4" i="10" s="1"/>
  <c r="M14" i="4"/>
  <c r="M18"/>
  <c r="O14"/>
  <c r="O18"/>
  <c r="Q14"/>
  <c r="Q18"/>
  <c r="S14"/>
  <c r="S18"/>
  <c r="U14"/>
  <c r="U18"/>
  <c r="W14"/>
  <c r="W18"/>
  <c r="Y14"/>
  <c r="Y18"/>
  <c r="AA14"/>
  <c r="AA18"/>
  <c r="AC14"/>
  <c r="AC18"/>
  <c r="AE14"/>
  <c r="AE18"/>
  <c r="AG14"/>
  <c r="AG18"/>
  <c r="AI14"/>
  <c r="AI18"/>
  <c r="N18"/>
  <c r="N14"/>
  <c r="P18"/>
  <c r="P14"/>
  <c r="R18"/>
  <c r="R14"/>
  <c r="T18"/>
  <c r="T14"/>
  <c r="V18"/>
  <c r="V14"/>
  <c r="X18"/>
  <c r="X14"/>
  <c r="Z18"/>
  <c r="Z14"/>
  <c r="AB18"/>
  <c r="AB14"/>
  <c r="AD18"/>
  <c r="AD14"/>
  <c r="AF18"/>
  <c r="AF14"/>
  <c r="AH18"/>
  <c r="AH14"/>
  <c r="AJ18"/>
  <c r="AJ14"/>
  <c r="O21" i="3"/>
  <c r="L18" i="4"/>
  <c r="L14"/>
  <c r="L47" i="9"/>
  <c r="L4"/>
  <c r="L3"/>
  <c r="L5"/>
  <c r="N3"/>
  <c r="N11" s="1"/>
  <c r="N5"/>
  <c r="N22" s="1"/>
  <c r="R26" s="1"/>
  <c r="S26" s="1"/>
  <c r="T26" s="1"/>
  <c r="N4"/>
  <c r="N18" s="1"/>
  <c r="N18" i="10" s="1"/>
  <c r="N20" s="1"/>
  <c r="N6" i="9"/>
  <c r="N47" s="1"/>
  <c r="M3"/>
  <c r="M11" s="1"/>
  <c r="M5"/>
  <c r="M22" s="1"/>
  <c r="Q25" s="1"/>
  <c r="M4"/>
  <c r="M18" s="1"/>
  <c r="M18" i="10" s="1"/>
  <c r="M6" i="9"/>
  <c r="M47" s="1"/>
  <c r="L13" i="5"/>
  <c r="L23" i="4"/>
  <c r="L22" i="6"/>
  <c r="L21" s="1"/>
  <c r="N23" i="4"/>
  <c r="N22" i="6"/>
  <c r="N21" s="1"/>
  <c r="P23" i="4"/>
  <c r="P22" i="6"/>
  <c r="P21" s="1"/>
  <c r="R23" i="4"/>
  <c r="R22" i="6"/>
  <c r="R21" s="1"/>
  <c r="T23" i="4"/>
  <c r="T22" i="6"/>
  <c r="T21" s="1"/>
  <c r="V23" i="4"/>
  <c r="V22" i="6"/>
  <c r="V21" s="1"/>
  <c r="X23" i="4"/>
  <c r="X22" i="6"/>
  <c r="X21" s="1"/>
  <c r="Z23" i="4"/>
  <c r="Z22" i="6"/>
  <c r="Z21" s="1"/>
  <c r="AB23" i="4"/>
  <c r="AB22" i="6"/>
  <c r="AB21" s="1"/>
  <c r="AD23" i="4"/>
  <c r="AD22" i="6"/>
  <c r="AD21" s="1"/>
  <c r="AF23" i="4"/>
  <c r="AF22" i="6"/>
  <c r="AF21" s="1"/>
  <c r="AH23" i="4"/>
  <c r="AH22" i="6"/>
  <c r="AH21" s="1"/>
  <c r="AJ23" i="4"/>
  <c r="AJ22" i="6"/>
  <c r="AJ21" s="1"/>
  <c r="M22"/>
  <c r="M21" s="1"/>
  <c r="M23" i="4"/>
  <c r="O22" i="6"/>
  <c r="O21" s="1"/>
  <c r="O23" i="4"/>
  <c r="Q22" i="6"/>
  <c r="Q21" s="1"/>
  <c r="Q23" i="4"/>
  <c r="S22" i="6"/>
  <c r="S21" s="1"/>
  <c r="S23" i="4"/>
  <c r="U22" i="6"/>
  <c r="U21" s="1"/>
  <c r="U23" i="4"/>
  <c r="W22" i="6"/>
  <c r="W21" s="1"/>
  <c r="W23" i="4"/>
  <c r="Y22" i="6"/>
  <c r="Y21" s="1"/>
  <c r="Y23" i="4"/>
  <c r="AA22" i="6"/>
  <c r="AA21" s="1"/>
  <c r="AA23" i="4"/>
  <c r="AC22" i="6"/>
  <c r="AC21" s="1"/>
  <c r="AC23" i="4"/>
  <c r="AE22" i="6"/>
  <c r="AE21" s="1"/>
  <c r="AE23" i="4"/>
  <c r="AG22" i="6"/>
  <c r="AG21" s="1"/>
  <c r="AG23" i="4"/>
  <c r="AI22" i="6"/>
  <c r="AI21" s="1"/>
  <c r="AI23" i="4"/>
  <c r="Q13" i="3"/>
  <c r="L39"/>
  <c r="M14"/>
  <c r="M33"/>
  <c r="I8" i="11" l="1"/>
  <c r="Q14" i="10"/>
  <c r="S14"/>
  <c r="U14"/>
  <c r="W14"/>
  <c r="Y14"/>
  <c r="O14"/>
  <c r="P14"/>
  <c r="R14"/>
  <c r="T14"/>
  <c r="V14"/>
  <c r="X14"/>
  <c r="Z14"/>
  <c r="N67" i="9"/>
  <c r="J13" i="8"/>
  <c r="L34" i="3"/>
  <c r="O14"/>
  <c r="N14"/>
  <c r="N6"/>
  <c r="O5"/>
  <c r="J7" i="5"/>
  <c r="J42" i="6"/>
  <c r="L49" i="9"/>
  <c r="L51" s="1"/>
  <c r="N33" i="3"/>
  <c r="O54" i="9"/>
  <c r="O57" s="1"/>
  <c r="N59"/>
  <c r="M67"/>
  <c r="R25"/>
  <c r="S25" s="1"/>
  <c r="T25" s="1"/>
  <c r="J3"/>
  <c r="M70"/>
  <c r="N70"/>
  <c r="W76"/>
  <c r="AA76"/>
  <c r="AE76"/>
  <c r="AI76"/>
  <c r="J4"/>
  <c r="O76"/>
  <c r="S27"/>
  <c r="T27" s="1"/>
  <c r="U27" s="1"/>
  <c r="Q76"/>
  <c r="U29"/>
  <c r="S76"/>
  <c r="W31"/>
  <c r="X31" s="1"/>
  <c r="Y31" s="1"/>
  <c r="Z31" s="1"/>
  <c r="AA31" s="1"/>
  <c r="V28"/>
  <c r="P62"/>
  <c r="P65" s="1"/>
  <c r="P54"/>
  <c r="P57" s="1"/>
  <c r="M19" i="10"/>
  <c r="M20" s="1"/>
  <c r="U26" i="9"/>
  <c r="V26" s="1"/>
  <c r="X30"/>
  <c r="W28"/>
  <c r="AN76"/>
  <c r="P28" i="10"/>
  <c r="L17" i="12"/>
  <c r="R28" i="10"/>
  <c r="N17" i="12"/>
  <c r="T28" i="10"/>
  <c r="P17" i="12"/>
  <c r="V28" i="10"/>
  <c r="R17" i="12"/>
  <c r="X28" i="10"/>
  <c r="T17" i="12"/>
  <c r="Z28" i="10"/>
  <c r="V17" i="12"/>
  <c r="AB28" i="10"/>
  <c r="X17" i="12"/>
  <c r="AD28" i="10"/>
  <c r="Z17" i="12"/>
  <c r="AF28" i="10"/>
  <c r="AB17" i="12"/>
  <c r="AH28" i="10"/>
  <c r="AD17" i="12"/>
  <c r="AJ28" i="10"/>
  <c r="AF17" i="12"/>
  <c r="AE18"/>
  <c r="AI31" i="10"/>
  <c r="AA18" i="12"/>
  <c r="AE31" i="10"/>
  <c r="W18" i="12"/>
  <c r="AA31" i="10"/>
  <c r="S18" i="12"/>
  <c r="W31" i="10"/>
  <c r="O18" i="12"/>
  <c r="S31" i="10"/>
  <c r="K18" i="12"/>
  <c r="O31" i="10"/>
  <c r="AO76" i="9"/>
  <c r="AO25" i="10"/>
  <c r="AO74" i="9"/>
  <c r="AJ31" i="10"/>
  <c r="AF18" i="12"/>
  <c r="AF31" i="10"/>
  <c r="AB18" i="12"/>
  <c r="AB31" i="10"/>
  <c r="X18" i="12"/>
  <c r="X31" i="10"/>
  <c r="T18" i="12"/>
  <c r="T31" i="10"/>
  <c r="P18" i="12"/>
  <c r="P31" i="10"/>
  <c r="L18" i="12"/>
  <c r="AK74" i="9"/>
  <c r="AK76"/>
  <c r="AN74"/>
  <c r="AL76"/>
  <c r="AJ76"/>
  <c r="AH76"/>
  <c r="AF76"/>
  <c r="AD76"/>
  <c r="AB76"/>
  <c r="Z76"/>
  <c r="X76"/>
  <c r="V76"/>
  <c r="T76"/>
  <c r="R76"/>
  <c r="P76"/>
  <c r="O28" i="10"/>
  <c r="K17" i="12"/>
  <c r="Q28" i="10"/>
  <c r="M17" i="12"/>
  <c r="S28" i="10"/>
  <c r="O17" i="12"/>
  <c r="U28" i="10"/>
  <c r="Q17" i="12"/>
  <c r="W28" i="10"/>
  <c r="S17" i="12"/>
  <c r="Y28" i="10"/>
  <c r="U17" i="12"/>
  <c r="AA28" i="10"/>
  <c r="W17" i="12"/>
  <c r="AC28" i="10"/>
  <c r="Y17" i="12"/>
  <c r="AE28" i="10"/>
  <c r="AA17" i="12"/>
  <c r="AG28" i="10"/>
  <c r="AC17" i="12"/>
  <c r="AI28" i="10"/>
  <c r="AE17" i="12"/>
  <c r="AC18"/>
  <c r="AG31" i="10"/>
  <c r="Y18" i="12"/>
  <c r="AC31" i="10"/>
  <c r="U18" i="12"/>
  <c r="Y31" i="10"/>
  <c r="Q18" i="12"/>
  <c r="U31" i="10"/>
  <c r="M18" i="12"/>
  <c r="Q31" i="10"/>
  <c r="AH31"/>
  <c r="AD18" i="12"/>
  <c r="AD31" i="10"/>
  <c r="Z18" i="12"/>
  <c r="Z31" i="10"/>
  <c r="V18" i="12"/>
  <c r="V31" i="10"/>
  <c r="R18" i="12"/>
  <c r="R31" i="10"/>
  <c r="N18" i="12"/>
  <c r="AM74" i="9"/>
  <c r="AM76"/>
  <c r="AI74"/>
  <c r="AG74"/>
  <c r="AE74"/>
  <c r="AC74"/>
  <c r="AA74"/>
  <c r="Y74"/>
  <c r="W74"/>
  <c r="U74"/>
  <c r="S74"/>
  <c r="Q74"/>
  <c r="O74"/>
  <c r="AL74"/>
  <c r="AJ74"/>
  <c r="AH74"/>
  <c r="AF74"/>
  <c r="AD74"/>
  <c r="AB74"/>
  <c r="Z74"/>
  <c r="X74"/>
  <c r="V74"/>
  <c r="T74"/>
  <c r="R74"/>
  <c r="P74"/>
  <c r="J5"/>
  <c r="J47"/>
  <c r="J6"/>
  <c r="P2" i="5"/>
  <c r="O10"/>
  <c r="O11" s="1"/>
  <c r="O13" s="1"/>
  <c r="O14" s="1"/>
  <c r="O4" i="10" s="1"/>
  <c r="AI30" i="6"/>
  <c r="AI29" s="1"/>
  <c r="AI24" i="4"/>
  <c r="AG30" i="6"/>
  <c r="AG29" s="1"/>
  <c r="AG2" s="1"/>
  <c r="AG44" s="1"/>
  <c r="AG45" s="1"/>
  <c r="AG47" s="1"/>
  <c r="AG48" s="1"/>
  <c r="AG24" i="4"/>
  <c r="AE30" i="6"/>
  <c r="AE29" s="1"/>
  <c r="AE2" s="1"/>
  <c r="AE44" s="1"/>
  <c r="AE45" s="1"/>
  <c r="AE47" s="1"/>
  <c r="AE48" s="1"/>
  <c r="AE24" i="4"/>
  <c r="AC30" i="6"/>
  <c r="AC29" s="1"/>
  <c r="AC2" s="1"/>
  <c r="AC44" s="1"/>
  <c r="AC45" s="1"/>
  <c r="AC47" s="1"/>
  <c r="AC48" s="1"/>
  <c r="AC24" i="4"/>
  <c r="AA30" i="6"/>
  <c r="AA29" s="1"/>
  <c r="AA2" s="1"/>
  <c r="AA44" s="1"/>
  <c r="AA45" s="1"/>
  <c r="AA47" s="1"/>
  <c r="AA48" s="1"/>
  <c r="AA24" i="4"/>
  <c r="Y30" i="6"/>
  <c r="Y29" s="1"/>
  <c r="Y2" s="1"/>
  <c r="Y44" s="1"/>
  <c r="Y45" s="1"/>
  <c r="Y47" s="1"/>
  <c r="Y48" s="1"/>
  <c r="Y24" i="4"/>
  <c r="W30" i="6"/>
  <c r="W29" s="1"/>
  <c r="W2" s="1"/>
  <c r="W44" s="1"/>
  <c r="W45" s="1"/>
  <c r="W47" s="1"/>
  <c r="W48" s="1"/>
  <c r="W24" i="4"/>
  <c r="U30" i="6"/>
  <c r="U29" s="1"/>
  <c r="U2" s="1"/>
  <c r="U44" s="1"/>
  <c r="U45" s="1"/>
  <c r="U47" s="1"/>
  <c r="U48" s="1"/>
  <c r="U24" i="4"/>
  <c r="S30" i="6"/>
  <c r="S29" s="1"/>
  <c r="S2" s="1"/>
  <c r="S44" s="1"/>
  <c r="S45" s="1"/>
  <c r="S47" s="1"/>
  <c r="S48" s="1"/>
  <c r="S24" i="4"/>
  <c r="Q30" i="6"/>
  <c r="Q29" s="1"/>
  <c r="Q2" s="1"/>
  <c r="Q44" s="1"/>
  <c r="Q45" s="1"/>
  <c r="Q47" s="1"/>
  <c r="Q48" s="1"/>
  <c r="Q24" i="4"/>
  <c r="O30" i="6"/>
  <c r="O29" s="1"/>
  <c r="O2" s="1"/>
  <c r="O44" s="1"/>
  <c r="O45" s="1"/>
  <c r="O47" s="1"/>
  <c r="O48" s="1"/>
  <c r="O24" i="4"/>
  <c r="M30" i="6"/>
  <c r="M29" s="1"/>
  <c r="M2" s="1"/>
  <c r="M44" s="1"/>
  <c r="M45" s="1"/>
  <c r="M47" s="1"/>
  <c r="M48" s="1"/>
  <c r="M24" i="4"/>
  <c r="AJ30" i="6"/>
  <c r="AJ29" s="1"/>
  <c r="AJ2" s="1"/>
  <c r="AJ44" s="1"/>
  <c r="AJ24" i="4"/>
  <c r="AH30" i="6"/>
  <c r="AH29" s="1"/>
  <c r="AH2" s="1"/>
  <c r="AH44" s="1"/>
  <c r="AH24" i="4"/>
  <c r="AF30" i="6"/>
  <c r="AF29" s="1"/>
  <c r="AF2" s="1"/>
  <c r="AF44" s="1"/>
  <c r="AF24" i="4"/>
  <c r="AD30" i="6"/>
  <c r="AD29" s="1"/>
  <c r="AD2" s="1"/>
  <c r="AD44" s="1"/>
  <c r="AD24" i="4"/>
  <c r="AB30" i="6"/>
  <c r="AB29" s="1"/>
  <c r="AB2" s="1"/>
  <c r="AB44" s="1"/>
  <c r="AB24" i="4"/>
  <c r="Z30" i="6"/>
  <c r="Z29" s="1"/>
  <c r="Z2" s="1"/>
  <c r="Z44" s="1"/>
  <c r="Z24" i="4"/>
  <c r="X30" i="6"/>
  <c r="X29" s="1"/>
  <c r="X2" s="1"/>
  <c r="X44" s="1"/>
  <c r="X24" i="4"/>
  <c r="V30" i="6"/>
  <c r="V29" s="1"/>
  <c r="V2" s="1"/>
  <c r="V44" s="1"/>
  <c r="V24" i="4"/>
  <c r="T30" i="6"/>
  <c r="T29" s="1"/>
  <c r="T2" s="1"/>
  <c r="T44" s="1"/>
  <c r="T24" i="4"/>
  <c r="R30" i="6"/>
  <c r="R29" s="1"/>
  <c r="R2" s="1"/>
  <c r="R44" s="1"/>
  <c r="R24" i="4"/>
  <c r="P30" i="6"/>
  <c r="P29" s="1"/>
  <c r="P2" s="1"/>
  <c r="P44" s="1"/>
  <c r="P24" i="4"/>
  <c r="N30" i="6"/>
  <c r="N29" s="1"/>
  <c r="N2" s="1"/>
  <c r="N44" s="1"/>
  <c r="N24" i="4"/>
  <c r="AI2" i="6"/>
  <c r="AI44" s="1"/>
  <c r="AI45" s="1"/>
  <c r="AI47" s="1"/>
  <c r="AI48" s="1"/>
  <c r="O22" i="3"/>
  <c r="P21"/>
  <c r="L30" i="6"/>
  <c r="L29" s="1"/>
  <c r="L24" i="4"/>
  <c r="M76" i="9"/>
  <c r="M25" i="10"/>
  <c r="I16" i="12"/>
  <c r="M74" i="9"/>
  <c r="N76"/>
  <c r="N25" i="10"/>
  <c r="N74" i="9"/>
  <c r="J16" i="12"/>
  <c r="L22" i="9"/>
  <c r="L41" s="1"/>
  <c r="L18"/>
  <c r="J18" s="1"/>
  <c r="L70"/>
  <c r="J70" s="1"/>
  <c r="M31" i="10"/>
  <c r="I18" i="12"/>
  <c r="M28" i="10"/>
  <c r="I17" i="12"/>
  <c r="N31" i="10"/>
  <c r="J18" i="12"/>
  <c r="N28" i="10"/>
  <c r="J17" i="12"/>
  <c r="J82" i="9"/>
  <c r="L11"/>
  <c r="L13" s="1"/>
  <c r="J19" i="10"/>
  <c r="L14" i="5"/>
  <c r="J21" i="6"/>
  <c r="Q14" i="3"/>
  <c r="R13"/>
  <c r="M36"/>
  <c r="M34" s="1"/>
  <c r="L2" i="10"/>
  <c r="J14" l="1"/>
  <c r="M46" i="9"/>
  <c r="M48" s="1"/>
  <c r="M49" s="1"/>
  <c r="N46" s="1"/>
  <c r="J29" i="6"/>
  <c r="N45"/>
  <c r="N47" s="1"/>
  <c r="N48" s="1"/>
  <c r="R45"/>
  <c r="R47" s="1"/>
  <c r="R48" s="1"/>
  <c r="V45"/>
  <c r="V47" s="1"/>
  <c r="V48" s="1"/>
  <c r="Z45"/>
  <c r="Z47" s="1"/>
  <c r="Z48" s="1"/>
  <c r="N36" i="3"/>
  <c r="N39" s="1"/>
  <c r="N2" i="10" s="1"/>
  <c r="N8" s="1"/>
  <c r="L2" i="6"/>
  <c r="L44" s="1"/>
  <c r="L45" s="1"/>
  <c r="J45" s="1"/>
  <c r="F86" i="9"/>
  <c r="O6" i="3"/>
  <c r="P5"/>
  <c r="O33"/>
  <c r="O36" s="1"/>
  <c r="O39" s="1"/>
  <c r="O2" i="10" s="1"/>
  <c r="O8" s="1"/>
  <c r="J11" i="9"/>
  <c r="V29"/>
  <c r="O67"/>
  <c r="P67"/>
  <c r="Q62"/>
  <c r="Q65" s="1"/>
  <c r="Q54"/>
  <c r="Q57" s="1"/>
  <c r="O59"/>
  <c r="J22"/>
  <c r="P24"/>
  <c r="AD45" i="6"/>
  <c r="AD47" s="1"/>
  <c r="AD48" s="1"/>
  <c r="AH45"/>
  <c r="AH47" s="1"/>
  <c r="AH48" s="1"/>
  <c r="U25" i="9"/>
  <c r="V25" s="1"/>
  <c r="X28"/>
  <c r="Y30"/>
  <c r="V27"/>
  <c r="AB31"/>
  <c r="W26"/>
  <c r="P10" i="5"/>
  <c r="P11" s="1"/>
  <c r="P13" s="1"/>
  <c r="P14" s="1"/>
  <c r="P4" i="10" s="1"/>
  <c r="Q2" i="5"/>
  <c r="P45" i="6"/>
  <c r="P47" s="1"/>
  <c r="P48" s="1"/>
  <c r="T45"/>
  <c r="T47" s="1"/>
  <c r="T48" s="1"/>
  <c r="X45"/>
  <c r="X47" s="1"/>
  <c r="X48" s="1"/>
  <c r="AB45"/>
  <c r="AB47" s="1"/>
  <c r="AB48" s="1"/>
  <c r="AF45"/>
  <c r="AF47" s="1"/>
  <c r="AF48" s="1"/>
  <c r="AJ45"/>
  <c r="AJ47" s="1"/>
  <c r="AJ48" s="1"/>
  <c r="P22" i="3"/>
  <c r="Q21"/>
  <c r="P33"/>
  <c r="P36" s="1"/>
  <c r="P39" s="1"/>
  <c r="P2" i="10" s="1"/>
  <c r="P8" s="1"/>
  <c r="L76" i="9"/>
  <c r="L78" s="1"/>
  <c r="L74"/>
  <c r="J74" s="1"/>
  <c r="L25" i="10"/>
  <c r="H16" i="12"/>
  <c r="L72" i="9"/>
  <c r="L18" i="10"/>
  <c r="F84" i="9"/>
  <c r="J84" s="1"/>
  <c r="L28" i="10"/>
  <c r="J28" s="1"/>
  <c r="H17" i="12"/>
  <c r="L31" i="10"/>
  <c r="J31" s="1"/>
  <c r="H18" i="12"/>
  <c r="L4" i="10"/>
  <c r="L8" s="1"/>
  <c r="J44" i="6"/>
  <c r="R14" i="3"/>
  <c r="S13"/>
  <c r="M39"/>
  <c r="P34" l="1"/>
  <c r="N34"/>
  <c r="N48" i="9"/>
  <c r="N71" s="1"/>
  <c r="P6" i="3"/>
  <c r="Q5"/>
  <c r="M77" i="9"/>
  <c r="M78" s="1"/>
  <c r="M71"/>
  <c r="O34" i="3"/>
  <c r="J18" i="10"/>
  <c r="L20"/>
  <c r="M10" i="9"/>
  <c r="M13" s="1"/>
  <c r="L15"/>
  <c r="H24" i="12" s="1"/>
  <c r="W29" i="9"/>
  <c r="X29" s="1"/>
  <c r="R62"/>
  <c r="R65" s="1"/>
  <c r="R54"/>
  <c r="R57" s="1"/>
  <c r="Q59"/>
  <c r="P59"/>
  <c r="M51"/>
  <c r="M72" s="1"/>
  <c r="I26" i="12" s="1"/>
  <c r="M21" i="9"/>
  <c r="M41" s="1"/>
  <c r="L43"/>
  <c r="H25" i="12" s="1"/>
  <c r="P23" i="9"/>
  <c r="P29" i="10" s="1"/>
  <c r="Q24" i="9"/>
  <c r="Q23" s="1"/>
  <c r="M21" i="12" s="1"/>
  <c r="W27" i="9"/>
  <c r="Z30"/>
  <c r="X27"/>
  <c r="W25"/>
  <c r="X26"/>
  <c r="Y26" s="1"/>
  <c r="Z26" s="1"/>
  <c r="AC31"/>
  <c r="AD31" s="1"/>
  <c r="AE31" s="1"/>
  <c r="AF31" s="1"/>
  <c r="Y28"/>
  <c r="R2" i="5"/>
  <c r="Q10"/>
  <c r="Q11" s="1"/>
  <c r="Q22" i="3"/>
  <c r="R21"/>
  <c r="Q33"/>
  <c r="Q36" s="1"/>
  <c r="Q39" s="1"/>
  <c r="Q2" i="10" s="1"/>
  <c r="N21" i="9"/>
  <c r="N41" s="1"/>
  <c r="L11" i="10"/>
  <c r="H26" i="12"/>
  <c r="H30"/>
  <c r="F85" i="9"/>
  <c r="I10" i="11" s="1"/>
  <c r="L21" i="12"/>
  <c r="L33" i="10"/>
  <c r="J25"/>
  <c r="J76" i="9"/>
  <c r="F95" s="1"/>
  <c r="F83"/>
  <c r="L47" i="6"/>
  <c r="S14" i="3"/>
  <c r="T13"/>
  <c r="M2" i="10"/>
  <c r="L9" l="1"/>
  <c r="Q29"/>
  <c r="N49" i="9"/>
  <c r="O46" s="1"/>
  <c r="O48" s="1"/>
  <c r="Y27"/>
  <c r="Z27" s="1"/>
  <c r="Q34" i="3"/>
  <c r="M32" i="10"/>
  <c r="M33" s="1"/>
  <c r="I22" i="12"/>
  <c r="I28" s="1"/>
  <c r="Q6" i="3"/>
  <c r="R5"/>
  <c r="J22" i="12"/>
  <c r="N32" i="10"/>
  <c r="F92" i="9"/>
  <c r="L52" i="10"/>
  <c r="AO52"/>
  <c r="AK52"/>
  <c r="AG52"/>
  <c r="AC52"/>
  <c r="Y52"/>
  <c r="U52"/>
  <c r="Q52"/>
  <c r="M52"/>
  <c r="AN52"/>
  <c r="AJ52"/>
  <c r="AF52"/>
  <c r="AB52"/>
  <c r="X52"/>
  <c r="T52"/>
  <c r="P52"/>
  <c r="AM52"/>
  <c r="AI52"/>
  <c r="AE52"/>
  <c r="AA52"/>
  <c r="W52"/>
  <c r="S52"/>
  <c r="O52"/>
  <c r="J20"/>
  <c r="AL52"/>
  <c r="AH52"/>
  <c r="AD52"/>
  <c r="Z52"/>
  <c r="V52"/>
  <c r="R52"/>
  <c r="N52"/>
  <c r="L10"/>
  <c r="L36" s="1"/>
  <c r="N10" i="9"/>
  <c r="N12" s="1"/>
  <c r="M11" i="10"/>
  <c r="J85" i="9"/>
  <c r="Y29"/>
  <c r="Z29" s="1"/>
  <c r="AA29" s="1"/>
  <c r="S62"/>
  <c r="S65" s="1"/>
  <c r="Q67"/>
  <c r="R59"/>
  <c r="S54"/>
  <c r="S57" s="1"/>
  <c r="N51"/>
  <c r="N72" s="1"/>
  <c r="M43"/>
  <c r="M10" i="10" s="1"/>
  <c r="R24" i="9"/>
  <c r="R23" s="1"/>
  <c r="AA27"/>
  <c r="AB27" s="1"/>
  <c r="Z28"/>
  <c r="AG31"/>
  <c r="AH31" s="1"/>
  <c r="AA26"/>
  <c r="AB26" s="1"/>
  <c r="AC26" s="1"/>
  <c r="AD26" s="1"/>
  <c r="AE26" s="1"/>
  <c r="X25"/>
  <c r="AA30"/>
  <c r="AB30" s="1"/>
  <c r="H23" i="12"/>
  <c r="H29" s="1"/>
  <c r="J83" i="9"/>
  <c r="F87"/>
  <c r="R10" i="5"/>
  <c r="R11" s="1"/>
  <c r="R13" s="1"/>
  <c r="R14" s="1"/>
  <c r="R4" i="10" s="1"/>
  <c r="S2" i="5"/>
  <c r="Q13"/>
  <c r="Q14" s="1"/>
  <c r="R22" i="3"/>
  <c r="S21"/>
  <c r="R33"/>
  <c r="R36" s="1"/>
  <c r="R34" s="1"/>
  <c r="F94" i="9"/>
  <c r="J94" s="1"/>
  <c r="I30" i="12"/>
  <c r="O21" i="9"/>
  <c r="O41" s="1"/>
  <c r="L48" i="6"/>
  <c r="J48" s="1"/>
  <c r="J47"/>
  <c r="R39" i="3"/>
  <c r="T14"/>
  <c r="U13"/>
  <c r="M8" i="10"/>
  <c r="I25" i="12" l="1"/>
  <c r="L12" i="10"/>
  <c r="L13" s="1"/>
  <c r="R6" i="3"/>
  <c r="S5"/>
  <c r="O71" i="9"/>
  <c r="O49"/>
  <c r="P46" s="1"/>
  <c r="M15"/>
  <c r="M9" i="10" s="1"/>
  <c r="M12" s="1"/>
  <c r="T62" i="9"/>
  <c r="T65" s="1"/>
  <c r="R67"/>
  <c r="T54"/>
  <c r="T57" s="1"/>
  <c r="S59"/>
  <c r="O51"/>
  <c r="O72" s="1"/>
  <c r="O11" i="10" s="1"/>
  <c r="N43" i="9"/>
  <c r="J25" i="12" s="1"/>
  <c r="S24" i="9"/>
  <c r="T24" s="1"/>
  <c r="T23" s="1"/>
  <c r="AI31"/>
  <c r="AC27"/>
  <c r="AD27" s="1"/>
  <c r="AB29"/>
  <c r="AC29" s="1"/>
  <c r="AC30"/>
  <c r="AD30" s="1"/>
  <c r="AF26"/>
  <c r="AG26" s="1"/>
  <c r="AH26" s="1"/>
  <c r="AI26" s="1"/>
  <c r="AJ26" s="1"/>
  <c r="AK26" s="1"/>
  <c r="AL26" s="1"/>
  <c r="AM26" s="1"/>
  <c r="AN26" s="1"/>
  <c r="AO26" s="1"/>
  <c r="Y25"/>
  <c r="Z25" s="1"/>
  <c r="AA28"/>
  <c r="AB28" s="1"/>
  <c r="AC28" s="1"/>
  <c r="AD28" s="1"/>
  <c r="S10" i="5"/>
  <c r="S11" s="1"/>
  <c r="S13" s="1"/>
  <c r="S14" s="1"/>
  <c r="S4" i="10" s="1"/>
  <c r="T2" i="5"/>
  <c r="Q4" i="10"/>
  <c r="S22" i="3"/>
  <c r="T21"/>
  <c r="S33"/>
  <c r="S36" s="1"/>
  <c r="S39" s="1"/>
  <c r="S2" i="10" s="1"/>
  <c r="P21" i="9"/>
  <c r="P41" s="1"/>
  <c r="N10" i="10"/>
  <c r="N11"/>
  <c r="J26" i="12"/>
  <c r="J92" i="9"/>
  <c r="F96"/>
  <c r="U14" i="3"/>
  <c r="V13"/>
  <c r="R2" i="10"/>
  <c r="L44" l="1"/>
  <c r="L51"/>
  <c r="L53" s="1"/>
  <c r="L54" s="1"/>
  <c r="L35"/>
  <c r="M36"/>
  <c r="L56"/>
  <c r="S8"/>
  <c r="S34" i="3"/>
  <c r="S6"/>
  <c r="T5"/>
  <c r="P48" i="9"/>
  <c r="O32" i="10"/>
  <c r="K22" i="12"/>
  <c r="K26"/>
  <c r="I24"/>
  <c r="I23" s="1"/>
  <c r="I29" s="1"/>
  <c r="U62" i="9"/>
  <c r="U65" s="1"/>
  <c r="S67"/>
  <c r="U54"/>
  <c r="U57" s="1"/>
  <c r="O43"/>
  <c r="K25" i="12" s="1"/>
  <c r="U24" i="9"/>
  <c r="V24" s="1"/>
  <c r="S23"/>
  <c r="U23"/>
  <c r="AE30"/>
  <c r="AF30" s="1"/>
  <c r="AG30" s="1"/>
  <c r="AH30" s="1"/>
  <c r="AE28"/>
  <c r="AF28" s="1"/>
  <c r="AG28" s="1"/>
  <c r="AH28" s="1"/>
  <c r="AI28" s="1"/>
  <c r="AJ28" s="1"/>
  <c r="AK28" s="1"/>
  <c r="AL28" s="1"/>
  <c r="AM28" s="1"/>
  <c r="AN28" s="1"/>
  <c r="AO28" s="1"/>
  <c r="AJ31"/>
  <c r="AK31" s="1"/>
  <c r="AL31" s="1"/>
  <c r="AM31" s="1"/>
  <c r="AN31" s="1"/>
  <c r="AO31" s="1"/>
  <c r="AD29"/>
  <c r="AE27"/>
  <c r="AF27" s="1"/>
  <c r="AG27" s="1"/>
  <c r="AH27" s="1"/>
  <c r="AI27" s="1"/>
  <c r="AJ27" s="1"/>
  <c r="AK27" s="1"/>
  <c r="AL27" s="1"/>
  <c r="AM27" s="1"/>
  <c r="AN27" s="1"/>
  <c r="AO27" s="1"/>
  <c r="AE29"/>
  <c r="AF29" s="1"/>
  <c r="AG29" s="1"/>
  <c r="AH29" s="1"/>
  <c r="AI29" s="1"/>
  <c r="AJ29" s="1"/>
  <c r="AK29" s="1"/>
  <c r="AL29" s="1"/>
  <c r="AM29" s="1"/>
  <c r="AN29" s="1"/>
  <c r="AO29" s="1"/>
  <c r="AA25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T10" i="5"/>
  <c r="T11" s="1"/>
  <c r="U2"/>
  <c r="T13"/>
  <c r="Q8" i="10"/>
  <c r="T22" i="3"/>
  <c r="U21"/>
  <c r="T33"/>
  <c r="T36" s="1"/>
  <c r="T39" s="1"/>
  <c r="T2" i="10" s="1"/>
  <c r="O10"/>
  <c r="Q21" i="9"/>
  <c r="Q41" s="1"/>
  <c r="R8" i="10"/>
  <c r="V14" i="3"/>
  <c r="W13"/>
  <c r="L37" i="10"/>
  <c r="H31" i="12"/>
  <c r="L57" i="10"/>
  <c r="M13"/>
  <c r="T34" i="3" l="1"/>
  <c r="T6"/>
  <c r="U5"/>
  <c r="U33" s="1"/>
  <c r="P71" i="9"/>
  <c r="P49"/>
  <c r="V62"/>
  <c r="V65" s="1"/>
  <c r="T67"/>
  <c r="V54"/>
  <c r="V57" s="1"/>
  <c r="U59"/>
  <c r="T59"/>
  <c r="P43"/>
  <c r="L25" i="12" s="1"/>
  <c r="V23" i="9"/>
  <c r="W24"/>
  <c r="X24" s="1"/>
  <c r="X23" s="1"/>
  <c r="AI30"/>
  <c r="AJ30" s="1"/>
  <c r="AK30" s="1"/>
  <c r="AL30" s="1"/>
  <c r="AM30" s="1"/>
  <c r="AN30" s="1"/>
  <c r="AO30" s="1"/>
  <c r="U10" i="5"/>
  <c r="U11" s="1"/>
  <c r="U13" s="1"/>
  <c r="U14" s="1"/>
  <c r="U4" i="10" s="1"/>
  <c r="V2" i="5"/>
  <c r="T14"/>
  <c r="U22" i="3"/>
  <c r="V21"/>
  <c r="Q43" i="9"/>
  <c r="W14" i="3"/>
  <c r="X13"/>
  <c r="H32" i="12"/>
  <c r="P10" i="10" l="1"/>
  <c r="U36" i="3"/>
  <c r="U39" s="1"/>
  <c r="U2" i="10" s="1"/>
  <c r="M44"/>
  <c r="M35"/>
  <c r="U6" i="3"/>
  <c r="V5"/>
  <c r="Q46" i="9"/>
  <c r="P51"/>
  <c r="P72" s="1"/>
  <c r="L22" i="12"/>
  <c r="P32" i="10"/>
  <c r="W62" i="9"/>
  <c r="W65" s="1"/>
  <c r="U67"/>
  <c r="V59"/>
  <c r="W54"/>
  <c r="W57" s="1"/>
  <c r="X29" i="10"/>
  <c r="T21" i="12"/>
  <c r="W23" i="9"/>
  <c r="Y24"/>
  <c r="W2" i="5"/>
  <c r="V10"/>
  <c r="V11" s="1"/>
  <c r="V13" s="1"/>
  <c r="V14" s="1"/>
  <c r="V4" i="10" s="1"/>
  <c r="T4"/>
  <c r="V22" i="3"/>
  <c r="W21"/>
  <c r="V33"/>
  <c r="V36" s="1"/>
  <c r="V39" s="1"/>
  <c r="V2" i="10" s="1"/>
  <c r="V8" s="1"/>
  <c r="Q10"/>
  <c r="M25" i="12"/>
  <c r="R21" i="9"/>
  <c r="R41" s="1"/>
  <c r="X14" i="3"/>
  <c r="Y13"/>
  <c r="M56" i="10"/>
  <c r="M51"/>
  <c r="M53" s="1"/>
  <c r="M54" s="1"/>
  <c r="U34" i="3" l="1"/>
  <c r="V34"/>
  <c r="V6"/>
  <c r="W5"/>
  <c r="Q48" i="9"/>
  <c r="Q49" s="1"/>
  <c r="L26" i="12"/>
  <c r="P11" i="10"/>
  <c r="X62" i="9"/>
  <c r="X65" s="1"/>
  <c r="V67"/>
  <c r="X54"/>
  <c r="X57" s="1"/>
  <c r="W59"/>
  <c r="Y23"/>
  <c r="Z24"/>
  <c r="W29" i="10"/>
  <c r="S21" i="12"/>
  <c r="W10" i="5"/>
  <c r="W11" s="1"/>
  <c r="W13" s="1"/>
  <c r="W14" s="1"/>
  <c r="W4" i="10" s="1"/>
  <c r="X2" i="5"/>
  <c r="T8" i="10"/>
  <c r="W22" i="3"/>
  <c r="X21"/>
  <c r="W33"/>
  <c r="W36" s="1"/>
  <c r="W34" s="1"/>
  <c r="R43" i="9"/>
  <c r="R29" i="10"/>
  <c r="N21" i="12"/>
  <c r="U8" i="10"/>
  <c r="Y14" i="3"/>
  <c r="Z13"/>
  <c r="M57" i="10"/>
  <c r="I31" i="12"/>
  <c r="M37" i="10"/>
  <c r="W6" i="3" l="1"/>
  <c r="X5"/>
  <c r="R46" i="9"/>
  <c r="Q51"/>
  <c r="Q72" s="1"/>
  <c r="Q71"/>
  <c r="Y62"/>
  <c r="Y65" s="1"/>
  <c r="W67"/>
  <c r="Y54"/>
  <c r="Y57" s="1"/>
  <c r="Z23"/>
  <c r="AA24"/>
  <c r="U21" i="12"/>
  <c r="Y29" i="10"/>
  <c r="Y2" i="5"/>
  <c r="X10"/>
  <c r="X11" s="1"/>
  <c r="W39" i="3"/>
  <c r="W2" i="10" s="1"/>
  <c r="X22" i="3"/>
  <c r="Y21"/>
  <c r="X33"/>
  <c r="X36" s="1"/>
  <c r="X39" s="1"/>
  <c r="X2" i="10" s="1"/>
  <c r="S21" i="9"/>
  <c r="S41" s="1"/>
  <c r="R10" i="10"/>
  <c r="N25" i="12"/>
  <c r="Z14" i="3"/>
  <c r="AA13"/>
  <c r="I32" i="12"/>
  <c r="X6" i="3" l="1"/>
  <c r="Y5"/>
  <c r="M26" i="12"/>
  <c r="Q11" i="10"/>
  <c r="Q32"/>
  <c r="M22" i="12"/>
  <c r="R48" i="9"/>
  <c r="R49" s="1"/>
  <c r="Z62"/>
  <c r="Z65" s="1"/>
  <c r="X67"/>
  <c r="X59"/>
  <c r="Z54"/>
  <c r="Z57" s="1"/>
  <c r="AA23"/>
  <c r="AB24"/>
  <c r="Z29" i="10"/>
  <c r="V21" i="12"/>
  <c r="Y10" i="5"/>
  <c r="Y11" s="1"/>
  <c r="Y13" s="1"/>
  <c r="Y14" s="1"/>
  <c r="Y4" i="10" s="1"/>
  <c r="Z2" i="5"/>
  <c r="X13"/>
  <c r="X14" s="1"/>
  <c r="X34" i="3"/>
  <c r="Y22"/>
  <c r="Z21"/>
  <c r="S29" i="10"/>
  <c r="O21" i="12"/>
  <c r="S43" i="9"/>
  <c r="AA14" i="3"/>
  <c r="AB13"/>
  <c r="W8" i="10"/>
  <c r="S46" i="9" l="1"/>
  <c r="R51"/>
  <c r="R72" s="1"/>
  <c r="N26" i="12" s="1"/>
  <c r="Y6" i="3"/>
  <c r="Z5"/>
  <c r="Y33"/>
  <c r="R11" i="10"/>
  <c r="S48" i="9"/>
  <c r="S71" s="1"/>
  <c r="R71"/>
  <c r="AA62"/>
  <c r="AA65" s="1"/>
  <c r="Y67"/>
  <c r="AA54"/>
  <c r="AA57" s="1"/>
  <c r="Y59"/>
  <c r="AB23"/>
  <c r="AC24"/>
  <c r="W21" i="12"/>
  <c r="AA29" i="10"/>
  <c r="Z10" i="5"/>
  <c r="Z11" s="1"/>
  <c r="Z13" s="1"/>
  <c r="Z14" s="1"/>
  <c r="Z4" i="10" s="1"/>
  <c r="X4"/>
  <c r="Z22" i="3"/>
  <c r="AA21"/>
  <c r="Z33"/>
  <c r="Z36" s="1"/>
  <c r="Z39" s="1"/>
  <c r="Z2" i="10" s="1"/>
  <c r="T21" i="9"/>
  <c r="T41" s="1"/>
  <c r="S10" i="10"/>
  <c r="O25" i="12"/>
  <c r="AB14" i="3"/>
  <c r="AC13"/>
  <c r="Z6" l="1"/>
  <c r="AA5"/>
  <c r="Y36"/>
  <c r="Y39" s="1"/>
  <c r="Y2" i="10" s="1"/>
  <c r="Y8" s="1"/>
  <c r="Z34" i="3"/>
  <c r="R32" i="10"/>
  <c r="N22" i="12"/>
  <c r="O22"/>
  <c r="S32" i="10"/>
  <c r="S49" i="9"/>
  <c r="AB62"/>
  <c r="AB65" s="1"/>
  <c r="Z67"/>
  <c r="AB54"/>
  <c r="AB57" s="1"/>
  <c r="AA59"/>
  <c r="Z59"/>
  <c r="AD24"/>
  <c r="AC23"/>
  <c r="AB29" i="10"/>
  <c r="X21" i="12"/>
  <c r="AA10" i="5"/>
  <c r="Z8" i="10"/>
  <c r="X8"/>
  <c r="AA22" i="3"/>
  <c r="AB21"/>
  <c r="AA33"/>
  <c r="T43" i="9"/>
  <c r="T29" i="10"/>
  <c r="P21" i="12"/>
  <c r="AC14" i="3"/>
  <c r="AD13"/>
  <c r="Y34" l="1"/>
  <c r="AA6"/>
  <c r="AB5"/>
  <c r="AB33" s="1"/>
  <c r="T46" i="9"/>
  <c r="S51"/>
  <c r="S72" s="1"/>
  <c r="AC62"/>
  <c r="AC65" s="1"/>
  <c r="AA67"/>
  <c r="AC54"/>
  <c r="AC57" s="1"/>
  <c r="AD23"/>
  <c r="AE24"/>
  <c r="AE23" s="1"/>
  <c r="AA21" i="12" s="1"/>
  <c r="Y21"/>
  <c r="AC29" i="10"/>
  <c r="AA36" i="3"/>
  <c r="AB10" i="5"/>
  <c r="AB11" s="1"/>
  <c r="AB13" s="1"/>
  <c r="AB14" s="1"/>
  <c r="AB4" i="10" s="1"/>
  <c r="AA11" i="5"/>
  <c r="AA13" s="1"/>
  <c r="AA14" s="1"/>
  <c r="AA4" i="10" s="1"/>
  <c r="AB22" i="3"/>
  <c r="AC21"/>
  <c r="U21" i="9"/>
  <c r="U41" s="1"/>
  <c r="T10" i="10"/>
  <c r="P25" i="12"/>
  <c r="AD14" i="3"/>
  <c r="AE13"/>
  <c r="AB36" l="1"/>
  <c r="AB39" s="1"/>
  <c r="AB2" i="10" s="1"/>
  <c r="AB8" s="1"/>
  <c r="AB6" i="3"/>
  <c r="AC5"/>
  <c r="S11" i="10"/>
  <c r="O26" i="12"/>
  <c r="T48" i="9"/>
  <c r="T71" s="1"/>
  <c r="AD62"/>
  <c r="AD65" s="1"/>
  <c r="AB67"/>
  <c r="AD54"/>
  <c r="AD57" s="1"/>
  <c r="AC59"/>
  <c r="AB59"/>
  <c r="Z21" i="12"/>
  <c r="AD29" i="10"/>
  <c r="AE29"/>
  <c r="AF24" i="9"/>
  <c r="AF23" s="1"/>
  <c r="AB21" i="12" s="1"/>
  <c r="AA39" i="3"/>
  <c r="AA34"/>
  <c r="AC10" i="5"/>
  <c r="AC11" s="1"/>
  <c r="AC13" s="1"/>
  <c r="AC14" s="1"/>
  <c r="AC4" i="10" s="1"/>
  <c r="AC22" i="3"/>
  <c r="AD21"/>
  <c r="AC33"/>
  <c r="U43" i="9"/>
  <c r="U29" i="10"/>
  <c r="Q21" i="12"/>
  <c r="AE14" i="3"/>
  <c r="AF13"/>
  <c r="AB34" l="1"/>
  <c r="AC6"/>
  <c r="AD5"/>
  <c r="AD33" s="1"/>
  <c r="T32" i="10"/>
  <c r="P22" i="12"/>
  <c r="T49" i="9"/>
  <c r="AE62"/>
  <c r="AE65" s="1"/>
  <c r="AC67"/>
  <c r="AE54"/>
  <c r="AE57" s="1"/>
  <c r="AF29" i="10"/>
  <c r="AG24" i="9"/>
  <c r="AA2" i="10"/>
  <c r="AA8" s="1"/>
  <c r="AD10" i="5"/>
  <c r="AD11" s="1"/>
  <c r="AD13" s="1"/>
  <c r="AD14" s="1"/>
  <c r="AD4" i="10" s="1"/>
  <c r="AD22" i="3"/>
  <c r="AE21"/>
  <c r="AC36"/>
  <c r="AC34" s="1"/>
  <c r="U10" i="10"/>
  <c r="Q25" i="12"/>
  <c r="V21" i="9"/>
  <c r="V41" s="1"/>
  <c r="AF14" i="3"/>
  <c r="AG13"/>
  <c r="AD36" l="1"/>
  <c r="AD39" s="1"/>
  <c r="AD2" i="10" s="1"/>
  <c r="AD8" s="1"/>
  <c r="AD6" i="3"/>
  <c r="AE5"/>
  <c r="AE33" s="1"/>
  <c r="U46" i="9"/>
  <c r="T51"/>
  <c r="T72" s="1"/>
  <c r="AF62"/>
  <c r="AF65" s="1"/>
  <c r="AD67"/>
  <c r="AF54"/>
  <c r="AF57" s="1"/>
  <c r="AD59"/>
  <c r="AG23"/>
  <c r="AH24"/>
  <c r="AH23" s="1"/>
  <c r="AH29" i="10" s="1"/>
  <c r="AC39" i="3"/>
  <c r="AE10" i="5"/>
  <c r="AE11" s="1"/>
  <c r="AE13" s="1"/>
  <c r="AE14" s="1"/>
  <c r="AE4" i="10" s="1"/>
  <c r="AE22" i="3"/>
  <c r="AF21"/>
  <c r="W21" i="9"/>
  <c r="W41" s="1"/>
  <c r="V29" i="10"/>
  <c r="R21" i="12"/>
  <c r="AG14" i="3"/>
  <c r="AH13"/>
  <c r="AE36" l="1"/>
  <c r="AE39" s="1"/>
  <c r="AE2" i="10" s="1"/>
  <c r="AE8" s="1"/>
  <c r="AD34" i="3"/>
  <c r="AE6"/>
  <c r="AF5"/>
  <c r="AF33" s="1"/>
  <c r="AF36" s="1"/>
  <c r="AF39" s="1"/>
  <c r="AF2" i="10" s="1"/>
  <c r="T11"/>
  <c r="P26" i="12"/>
  <c r="U48" i="9"/>
  <c r="U71" s="1"/>
  <c r="AD21" i="12"/>
  <c r="AG62" i="9"/>
  <c r="AG65" s="1"/>
  <c r="AE67"/>
  <c r="AE59"/>
  <c r="AG54"/>
  <c r="AG57" s="1"/>
  <c r="V43"/>
  <c r="R25" i="12" s="1"/>
  <c r="AI24" i="9"/>
  <c r="AG29" i="10"/>
  <c r="AC21" i="12"/>
  <c r="AC2" i="10"/>
  <c r="AC8" s="1"/>
  <c r="AF10" i="5"/>
  <c r="AF11" s="1"/>
  <c r="AF13" s="1"/>
  <c r="AF14" s="1"/>
  <c r="AF4" i="10" s="1"/>
  <c r="AF22" i="3"/>
  <c r="AG21"/>
  <c r="X21" i="9"/>
  <c r="X41" s="1"/>
  <c r="AH14" i="3"/>
  <c r="AI13"/>
  <c r="AE34" l="1"/>
  <c r="AF6"/>
  <c r="AG5"/>
  <c r="Q22" i="12"/>
  <c r="U32" i="10"/>
  <c r="U49" i="9"/>
  <c r="V10" i="10"/>
  <c r="AH62" i="9"/>
  <c r="AH65" s="1"/>
  <c r="AF67"/>
  <c r="AH54"/>
  <c r="AH57" s="1"/>
  <c r="AF59"/>
  <c r="W43"/>
  <c r="W10" i="10" s="1"/>
  <c r="AJ24" i="9"/>
  <c r="AI23"/>
  <c r="AF34" i="3"/>
  <c r="AG10" i="5"/>
  <c r="AG11" s="1"/>
  <c r="AG13" s="1"/>
  <c r="AG14" s="1"/>
  <c r="AG4" i="10" s="1"/>
  <c r="AF8"/>
  <c r="AG22" i="3"/>
  <c r="AH21"/>
  <c r="AG33"/>
  <c r="AG36" s="1"/>
  <c r="AG39" s="1"/>
  <c r="AG2" i="10" s="1"/>
  <c r="AG8" s="1"/>
  <c r="Y21" i="9"/>
  <c r="Y41" s="1"/>
  <c r="AI14" i="3"/>
  <c r="AJ13"/>
  <c r="AG34"/>
  <c r="AG6" l="1"/>
  <c r="AH5"/>
  <c r="V46" i="9"/>
  <c r="U51"/>
  <c r="U72" s="1"/>
  <c r="S25" i="12"/>
  <c r="AI62" i="9"/>
  <c r="AI65" s="1"/>
  <c r="AG67"/>
  <c r="AG59"/>
  <c r="AI54"/>
  <c r="AI57" s="1"/>
  <c r="X43"/>
  <c r="X10" i="10" s="1"/>
  <c r="AJ23" i="9"/>
  <c r="AK24"/>
  <c r="AI29" i="10"/>
  <c r="AE21" i="12"/>
  <c r="AH10" i="5"/>
  <c r="AH11" s="1"/>
  <c r="AH13" s="1"/>
  <c r="AH14" s="1"/>
  <c r="AH4" i="10" s="1"/>
  <c r="AH22" i="3"/>
  <c r="AI21"/>
  <c r="AH33"/>
  <c r="AH36" s="1"/>
  <c r="AH39" s="1"/>
  <c r="AH2" i="10" s="1"/>
  <c r="Z21" i="9"/>
  <c r="Z41" s="1"/>
  <c r="T25" i="12"/>
  <c r="AJ14" i="3"/>
  <c r="AK13"/>
  <c r="AH6" l="1"/>
  <c r="AI5"/>
  <c r="V48" i="9"/>
  <c r="V71" s="1"/>
  <c r="U11" i="10"/>
  <c r="Q26" i="12"/>
  <c r="AJ62" i="9"/>
  <c r="AJ65" s="1"/>
  <c r="AH67"/>
  <c r="AJ54"/>
  <c r="AJ57" s="1"/>
  <c r="AI59"/>
  <c r="AH59"/>
  <c r="Y43"/>
  <c r="Y10" i="10" s="1"/>
  <c r="AK23" i="9"/>
  <c r="AL24"/>
  <c r="AJ29" i="10"/>
  <c r="AF21" i="12"/>
  <c r="AH34" i="3"/>
  <c r="AI10" i="5"/>
  <c r="AI11" s="1"/>
  <c r="AI13" s="1"/>
  <c r="AI14" s="1"/>
  <c r="AI4" i="10" s="1"/>
  <c r="AH8"/>
  <c r="AI22" i="3"/>
  <c r="AJ21"/>
  <c r="AI33"/>
  <c r="AI36" s="1"/>
  <c r="AI39" s="1"/>
  <c r="AI2" i="10" s="1"/>
  <c r="AI8" s="1"/>
  <c r="AA21" i="9"/>
  <c r="AA41" s="1"/>
  <c r="U25" i="12"/>
  <c r="AK14" i="3"/>
  <c r="AL13"/>
  <c r="AI6" l="1"/>
  <c r="AJ5"/>
  <c r="AI34"/>
  <c r="V49" i="9"/>
  <c r="V32" i="10"/>
  <c r="R22" i="12"/>
  <c r="AK62" i="9"/>
  <c r="AK65" s="1"/>
  <c r="AI67"/>
  <c r="AK54"/>
  <c r="AK57" s="1"/>
  <c r="Z43"/>
  <c r="V25" i="12" s="1"/>
  <c r="AL23" i="9"/>
  <c r="AM24"/>
  <c r="AK29" i="10"/>
  <c r="AJ10" i="5"/>
  <c r="AJ11" s="1"/>
  <c r="AJ13" s="1"/>
  <c r="AJ14" s="1"/>
  <c r="AJ4" i="10" s="1"/>
  <c r="AJ22" i="3"/>
  <c r="AK21"/>
  <c r="AJ33"/>
  <c r="AJ36" s="1"/>
  <c r="AJ39" s="1"/>
  <c r="AJ2" i="10" s="1"/>
  <c r="AB21" i="9"/>
  <c r="AB41" s="1"/>
  <c r="AL14" i="3"/>
  <c r="AM13"/>
  <c r="Z10" i="10" l="1"/>
  <c r="AJ6" i="3"/>
  <c r="AK5"/>
  <c r="AJ34"/>
  <c r="W46" i="9"/>
  <c r="V51"/>
  <c r="V72" s="1"/>
  <c r="AJ67"/>
  <c r="AK67"/>
  <c r="AL62"/>
  <c r="AL65" s="1"/>
  <c r="AL54"/>
  <c r="AL57" s="1"/>
  <c r="AK59"/>
  <c r="AJ59"/>
  <c r="AA43"/>
  <c r="AA10" i="10" s="1"/>
  <c r="AM23" i="9"/>
  <c r="AN24"/>
  <c r="AL29" i="10"/>
  <c r="AK10" i="5"/>
  <c r="AK11" s="1"/>
  <c r="AK13" s="1"/>
  <c r="AK14" s="1"/>
  <c r="AK4" i="10" s="1"/>
  <c r="AJ8"/>
  <c r="AK22" i="3"/>
  <c r="AL21"/>
  <c r="AK33"/>
  <c r="AC21" i="9"/>
  <c r="AC41" s="1"/>
  <c r="W25" i="12"/>
  <c r="AM14" i="3"/>
  <c r="AN13"/>
  <c r="AK6" l="1"/>
  <c r="AL5"/>
  <c r="W48" i="9"/>
  <c r="W71" s="1"/>
  <c r="V11" i="10"/>
  <c r="R26" i="12"/>
  <c r="AM62" i="9"/>
  <c r="AM65" s="1"/>
  <c r="AM54"/>
  <c r="AM57" s="1"/>
  <c r="AB43"/>
  <c r="AB10" i="10" s="1"/>
  <c r="AN23" i="9"/>
  <c r="AO24"/>
  <c r="AO23" s="1"/>
  <c r="AM29" i="10"/>
  <c r="AL10" i="5"/>
  <c r="AL11" s="1"/>
  <c r="AL13" s="1"/>
  <c r="AL14" s="1"/>
  <c r="AL4" i="10" s="1"/>
  <c r="AK36" i="3"/>
  <c r="AK39" s="1"/>
  <c r="AK2" i="10" s="1"/>
  <c r="AK8" s="1"/>
  <c r="AL22" i="3"/>
  <c r="AM21"/>
  <c r="AL33"/>
  <c r="AL36" s="1"/>
  <c r="AL39" s="1"/>
  <c r="AL2" i="10" s="1"/>
  <c r="AD21" i="9"/>
  <c r="AD41" s="1"/>
  <c r="AN14" i="3"/>
  <c r="AO13"/>
  <c r="AL8" i="10" l="1"/>
  <c r="AL6" i="3"/>
  <c r="AM5"/>
  <c r="AL34"/>
  <c r="W49" i="9"/>
  <c r="X25" i="12"/>
  <c r="S22"/>
  <c r="W32" i="10"/>
  <c r="AN62" i="9"/>
  <c r="AN65" s="1"/>
  <c r="AL67"/>
  <c r="AN54"/>
  <c r="AN57" s="1"/>
  <c r="AL59"/>
  <c r="AC43"/>
  <c r="Y25" i="12" s="1"/>
  <c r="AO29" i="10"/>
  <c r="AN29"/>
  <c r="J23" i="9"/>
  <c r="AM10" i="5"/>
  <c r="AM11" s="1"/>
  <c r="AM13" s="1"/>
  <c r="AM14" s="1"/>
  <c r="AM4" i="10" s="1"/>
  <c r="AM22" i="3"/>
  <c r="AN21"/>
  <c r="AM33"/>
  <c r="AK34"/>
  <c r="AE21" i="9"/>
  <c r="AE41" s="1"/>
  <c r="AC10" i="10"/>
  <c r="AO14" i="3"/>
  <c r="X46" i="9" l="1"/>
  <c r="W51"/>
  <c r="W72" s="1"/>
  <c r="AM6" i="3"/>
  <c r="AN5"/>
  <c r="AO62" i="9"/>
  <c r="AO65" s="1"/>
  <c r="AM67"/>
  <c r="AM59"/>
  <c r="AO54"/>
  <c r="AO57" s="1"/>
  <c r="AD43"/>
  <c r="AD10" i="10" s="1"/>
  <c r="J29"/>
  <c r="AN10" i="5"/>
  <c r="AN11" s="1"/>
  <c r="AN13" s="1"/>
  <c r="AN14" s="1"/>
  <c r="AN4" i="10" s="1"/>
  <c r="AM36" i="3"/>
  <c r="AM39" s="1"/>
  <c r="AM2" i="10" s="1"/>
  <c r="AM8" s="1"/>
  <c r="AN22" i="3"/>
  <c r="AO21"/>
  <c r="AN33"/>
  <c r="AF21" i="9"/>
  <c r="AF41" s="1"/>
  <c r="X48" l="1"/>
  <c r="X71" s="1"/>
  <c r="AN6" i="3"/>
  <c r="AO5"/>
  <c r="AO6" s="1"/>
  <c r="W11" i="10"/>
  <c r="S26" i="12"/>
  <c r="Z25"/>
  <c r="AO67" i="9"/>
  <c r="AN67"/>
  <c r="AO59"/>
  <c r="AN59"/>
  <c r="AE43"/>
  <c r="AA25" i="12" s="1"/>
  <c r="J2" i="5"/>
  <c r="AO10"/>
  <c r="AM34" i="3"/>
  <c r="AN36"/>
  <c r="AO22"/>
  <c r="AO33"/>
  <c r="J33" s="1"/>
  <c r="AG21" i="9"/>
  <c r="AG41" s="1"/>
  <c r="AE10" i="10" l="1"/>
  <c r="X32"/>
  <c r="T22" i="12"/>
  <c r="X49" i="9"/>
  <c r="J67"/>
  <c r="J59"/>
  <c r="AF43"/>
  <c r="AB25" i="12" s="1"/>
  <c r="J10" i="5"/>
  <c r="AO11"/>
  <c r="AN39" i="3"/>
  <c r="AN34"/>
  <c r="AO36"/>
  <c r="AH21" i="9"/>
  <c r="AH41" s="1"/>
  <c r="Y46" l="1"/>
  <c r="X51"/>
  <c r="X72" s="1"/>
  <c r="AF10" i="10"/>
  <c r="AG43" i="9"/>
  <c r="AC25" i="12" s="1"/>
  <c r="AO39" i="3"/>
  <c r="J36"/>
  <c r="J11" i="5"/>
  <c r="AO13"/>
  <c r="AN2" i="10"/>
  <c r="AO34" i="3"/>
  <c r="J34" s="1"/>
  <c r="AI21" i="9"/>
  <c r="AI41" s="1"/>
  <c r="AG10" i="10" l="1"/>
  <c r="Y48" i="9"/>
  <c r="Y71" s="1"/>
  <c r="T26" i="12"/>
  <c r="X11" i="10"/>
  <c r="AH43" i="9"/>
  <c r="AH10" i="10" s="1"/>
  <c r="AO2"/>
  <c r="J2" s="1"/>
  <c r="J39" i="3"/>
  <c r="J13" i="5"/>
  <c r="AO14"/>
  <c r="AN8" i="10"/>
  <c r="AJ21" i="9"/>
  <c r="AJ41" s="1"/>
  <c r="Y49" l="1"/>
  <c r="Z46" s="1"/>
  <c r="U22" i="12"/>
  <c r="Y32" i="10"/>
  <c r="AD25" i="12"/>
  <c r="AI43" i="9"/>
  <c r="AI10" i="10" s="1"/>
  <c r="J14" i="5"/>
  <c r="AO4" i="10"/>
  <c r="AK21" i="9"/>
  <c r="AK41" s="1"/>
  <c r="Y51" l="1"/>
  <c r="Y72" s="1"/>
  <c r="U26" i="12" s="1"/>
  <c r="Z48" i="9"/>
  <c r="Z71" s="1"/>
  <c r="Y11" i="10"/>
  <c r="AE25" i="12"/>
  <c r="AJ43" i="9"/>
  <c r="AJ10" i="10" s="1"/>
  <c r="J4"/>
  <c r="AO8"/>
  <c r="J8" s="1"/>
  <c r="AL21" i="9"/>
  <c r="AL41" s="1"/>
  <c r="V22" i="12" l="1"/>
  <c r="Z32" i="10"/>
  <c r="Z49" i="9"/>
  <c r="AF25" i="12"/>
  <c r="AK43" i="9"/>
  <c r="AK10" i="10" s="1"/>
  <c r="AM21" i="9"/>
  <c r="AM41" s="1"/>
  <c r="Z51" l="1"/>
  <c r="Z72" s="1"/>
  <c r="AA46"/>
  <c r="AL43"/>
  <c r="AL10" i="10" s="1"/>
  <c r="AN21" i="9"/>
  <c r="AN41" s="1"/>
  <c r="Z11" i="10" l="1"/>
  <c r="V26" i="12"/>
  <c r="AA48" i="9"/>
  <c r="AA71" s="1"/>
  <c r="AM43"/>
  <c r="AM10" i="10" s="1"/>
  <c r="AO21" i="9"/>
  <c r="AO41" s="1"/>
  <c r="W22" i="12" l="1"/>
  <c r="AA32" i="10"/>
  <c r="AA49" i="9"/>
  <c r="AN43"/>
  <c r="AN10" i="10" s="1"/>
  <c r="AO43" i="9"/>
  <c r="AA51" l="1"/>
  <c r="AA72" s="1"/>
  <c r="AB46"/>
  <c r="AO10" i="10"/>
  <c r="J10" s="1"/>
  <c r="J43" i="9"/>
  <c r="W26" i="12" l="1"/>
  <c r="AA11" i="10"/>
  <c r="AB48" i="9"/>
  <c r="AB71" s="1"/>
  <c r="AB32" i="10" l="1"/>
  <c r="X22" i="12"/>
  <c r="AB49" i="9"/>
  <c r="AB51" l="1"/>
  <c r="AB72" s="1"/>
  <c r="AC46"/>
  <c r="X26" i="12" l="1"/>
  <c r="AB11" i="10"/>
  <c r="AC48" i="9"/>
  <c r="AC71" s="1"/>
  <c r="AC32" i="10" l="1"/>
  <c r="Y22" i="12"/>
  <c r="AC49" i="9"/>
  <c r="AC51" l="1"/>
  <c r="AC72" s="1"/>
  <c r="AD46"/>
  <c r="AC11" i="10" l="1"/>
  <c r="Y26" i="12"/>
  <c r="AD48" i="9"/>
  <c r="AD71" s="1"/>
  <c r="AD32" i="10" l="1"/>
  <c r="Z22" i="12"/>
  <c r="AD49" i="9"/>
  <c r="AD51" l="1"/>
  <c r="AD72" s="1"/>
  <c r="AE46"/>
  <c r="Z26" i="12" l="1"/>
  <c r="AD11" i="10"/>
  <c r="AE48" i="9"/>
  <c r="AE71" s="1"/>
  <c r="AE32" i="10" l="1"/>
  <c r="AA22" i="12"/>
  <c r="AE49" i="9"/>
  <c r="AE51" l="1"/>
  <c r="AE72" s="1"/>
  <c r="AF46"/>
  <c r="AA26" i="12" l="1"/>
  <c r="AE11" i="10"/>
  <c r="AF48" i="9"/>
  <c r="AF71" s="1"/>
  <c r="AB22" i="12" l="1"/>
  <c r="AF32" i="10"/>
  <c r="AF49" i="9"/>
  <c r="AF51" l="1"/>
  <c r="AF72" s="1"/>
  <c r="AG46"/>
  <c r="AB26" i="12" l="1"/>
  <c r="AF11" i="10"/>
  <c r="AG48" i="9"/>
  <c r="AG71" s="1"/>
  <c r="AC22" i="12" l="1"/>
  <c r="AG32" i="10"/>
  <c r="AG49" i="9"/>
  <c r="AG51" l="1"/>
  <c r="AG72" s="1"/>
  <c r="AH46"/>
  <c r="AG11" i="10" l="1"/>
  <c r="AC26" i="12"/>
  <c r="AH48" i="9"/>
  <c r="AH71" s="1"/>
  <c r="AD22" i="12" l="1"/>
  <c r="AH32" i="10"/>
  <c r="AH49" i="9"/>
  <c r="AH51" l="1"/>
  <c r="AH72" s="1"/>
  <c r="AI46"/>
  <c r="AD26" i="12" l="1"/>
  <c r="AH11" i="10"/>
  <c r="AI48" i="9"/>
  <c r="AI71" s="1"/>
  <c r="AI32" i="10" l="1"/>
  <c r="AE22" i="12"/>
  <c r="AI49" i="9"/>
  <c r="AI51" l="1"/>
  <c r="AI72" s="1"/>
  <c r="AJ46"/>
  <c r="AI11" i="10" l="1"/>
  <c r="AE26" i="12"/>
  <c r="AJ48" i="9"/>
  <c r="AJ71" s="1"/>
  <c r="AJ32" i="10" l="1"/>
  <c r="AF22" i="12"/>
  <c r="AJ49" i="9"/>
  <c r="AJ51" l="1"/>
  <c r="AJ72" s="1"/>
  <c r="AK46"/>
  <c r="AJ11" i="10" l="1"/>
  <c r="AF26" i="12"/>
  <c r="AK48" i="9"/>
  <c r="AK71" s="1"/>
  <c r="AK32" i="10" s="1"/>
  <c r="AK49" i="9" l="1"/>
  <c r="AK51" l="1"/>
  <c r="AK72" s="1"/>
  <c r="AK11" i="10" s="1"/>
  <c r="AL46" i="9"/>
  <c r="AL48" l="1"/>
  <c r="AL71" s="1"/>
  <c r="AL32" i="10" s="1"/>
  <c r="AL49" i="9" l="1"/>
  <c r="AL51" l="1"/>
  <c r="AL72" s="1"/>
  <c r="AL11" i="10" s="1"/>
  <c r="AM46" i="9"/>
  <c r="AM48" l="1"/>
  <c r="AM71" s="1"/>
  <c r="AM32" i="10" s="1"/>
  <c r="AM49" i="9" l="1"/>
  <c r="AM51" l="1"/>
  <c r="AM72" s="1"/>
  <c r="AM11" i="10" s="1"/>
  <c r="AN46" i="9"/>
  <c r="AN48" l="1"/>
  <c r="AN71" s="1"/>
  <c r="AN32" i="10" s="1"/>
  <c r="AN49" i="9" l="1"/>
  <c r="AN51" l="1"/>
  <c r="AN72" s="1"/>
  <c r="AN11" i="10" s="1"/>
  <c r="AO46" i="9"/>
  <c r="AO48" l="1"/>
  <c r="AO71" l="1"/>
  <c r="J48"/>
  <c r="H95" s="1"/>
  <c r="AO49"/>
  <c r="AO51" s="1"/>
  <c r="J20" i="12"/>
  <c r="J28" s="1"/>
  <c r="N26" i="10"/>
  <c r="N77" i="9"/>
  <c r="N78" s="1"/>
  <c r="N13"/>
  <c r="N15" s="1"/>
  <c r="J51" l="1"/>
  <c r="AO72"/>
  <c r="J71"/>
  <c r="AO32" i="10"/>
  <c r="J32" s="1"/>
  <c r="J95" i="9"/>
  <c r="J96" s="1"/>
  <c r="J39" i="10" s="1"/>
  <c r="H86" i="9"/>
  <c r="J86" s="1"/>
  <c r="J87" s="1"/>
  <c r="J45" i="10" s="1"/>
  <c r="J24" i="12"/>
  <c r="J23" s="1"/>
  <c r="J29" s="1"/>
  <c r="N9" i="10"/>
  <c r="J30" i="12"/>
  <c r="O10" i="9"/>
  <c r="O12" s="1"/>
  <c r="N33" i="10"/>
  <c r="N36"/>
  <c r="T40" l="1"/>
  <c r="AB40"/>
  <c r="M40"/>
  <c r="M41" s="1"/>
  <c r="U40"/>
  <c r="AC40"/>
  <c r="AJ40"/>
  <c r="AN40"/>
  <c r="N40"/>
  <c r="V40"/>
  <c r="AD40"/>
  <c r="O40"/>
  <c r="W40"/>
  <c r="AE40"/>
  <c r="AK40"/>
  <c r="AO40"/>
  <c r="P40"/>
  <c r="X40"/>
  <c r="AF40"/>
  <c r="Q40"/>
  <c r="Y40"/>
  <c r="AG40"/>
  <c r="AL40"/>
  <c r="L40"/>
  <c r="L41" s="1"/>
  <c r="R40"/>
  <c r="Z40"/>
  <c r="AH40"/>
  <c r="S40"/>
  <c r="AA40"/>
  <c r="AI40"/>
  <c r="AM40"/>
  <c r="T46"/>
  <c r="AJ46"/>
  <c r="U46"/>
  <c r="AK46"/>
  <c r="V46"/>
  <c r="AL46"/>
  <c r="W46"/>
  <c r="AM46"/>
  <c r="X46"/>
  <c r="AN46"/>
  <c r="Y46"/>
  <c r="AO46"/>
  <c r="Z46"/>
  <c r="I15" i="11"/>
  <c r="AA46" i="10"/>
  <c r="S46"/>
  <c r="L46"/>
  <c r="L47" s="1"/>
  <c r="AB46"/>
  <c r="M46"/>
  <c r="M47" s="1"/>
  <c r="AC46"/>
  <c r="N46"/>
  <c r="AD46"/>
  <c r="O46"/>
  <c r="AE46"/>
  <c r="P46"/>
  <c r="AF46"/>
  <c r="Q46"/>
  <c r="AG46"/>
  <c r="R46"/>
  <c r="AH46"/>
  <c r="AI46"/>
  <c r="J72" i="9"/>
  <c r="AO11" i="10"/>
  <c r="J11" s="1"/>
  <c r="O26"/>
  <c r="O33" s="1"/>
  <c r="O77" i="9"/>
  <c r="O78" s="1"/>
  <c r="K20" i="12"/>
  <c r="K28" s="1"/>
  <c r="O13" i="9"/>
  <c r="P10" s="1"/>
  <c r="P12" s="1"/>
  <c r="N12" i="10"/>
  <c r="P26" l="1"/>
  <c r="L20" i="12"/>
  <c r="L28" s="1"/>
  <c r="P77" i="9"/>
  <c r="P78" s="1"/>
  <c r="O15"/>
  <c r="K24" i="12" s="1"/>
  <c r="K23" s="1"/>
  <c r="K29" s="1"/>
  <c r="N13" i="10"/>
  <c r="P13" i="9"/>
  <c r="Q10" s="1"/>
  <c r="Q12" s="1"/>
  <c r="L30" i="12" l="1"/>
  <c r="N44" i="10"/>
  <c r="N35"/>
  <c r="N37" s="1"/>
  <c r="K30" i="12"/>
  <c r="P33" i="10"/>
  <c r="Q77" i="9"/>
  <c r="Q78" s="1"/>
  <c r="M20" i="12"/>
  <c r="M28" s="1"/>
  <c r="Q26" i="10"/>
  <c r="Q33" s="1"/>
  <c r="O9"/>
  <c r="O36" s="1"/>
  <c r="P15" i="9"/>
  <c r="L24" i="12" s="1"/>
  <c r="L23" s="1"/>
  <c r="L29" s="1"/>
  <c r="Q13" i="9"/>
  <c r="R10" s="1"/>
  <c r="R12" s="1"/>
  <c r="N56" i="10"/>
  <c r="N51"/>
  <c r="N53" s="1"/>
  <c r="N54" s="1"/>
  <c r="P9" l="1"/>
  <c r="O12"/>
  <c r="R77" i="9"/>
  <c r="R78" s="1"/>
  <c r="N20" i="12"/>
  <c r="N28" s="1"/>
  <c r="R26" i="10"/>
  <c r="R33" s="1"/>
  <c r="Q15" i="9"/>
  <c r="Q9" i="10" s="1"/>
  <c r="J32" i="12"/>
  <c r="P12" i="10"/>
  <c r="P36"/>
  <c r="N47"/>
  <c r="N57"/>
  <c r="J31" i="12"/>
  <c r="N41" i="10"/>
  <c r="R13" i="9"/>
  <c r="S10" s="1"/>
  <c r="S12" s="1"/>
  <c r="M24" i="12" l="1"/>
  <c r="M23" s="1"/>
  <c r="M29" s="1"/>
  <c r="O13" i="10"/>
  <c r="M30" i="12"/>
  <c r="S77" i="9"/>
  <c r="S78" s="1"/>
  <c r="O20" i="12"/>
  <c r="O28" s="1"/>
  <c r="S26" i="10"/>
  <c r="R15" i="9"/>
  <c r="N24" i="12" s="1"/>
  <c r="N23" s="1"/>
  <c r="N29" s="1"/>
  <c r="Q36" i="10"/>
  <c r="Q12"/>
  <c r="P13"/>
  <c r="S13" i="9"/>
  <c r="T10" s="1"/>
  <c r="T12" s="1"/>
  <c r="O44" i="10" l="1"/>
  <c r="O47" s="1"/>
  <c r="O35"/>
  <c r="O41" s="1"/>
  <c r="O51"/>
  <c r="O53" s="1"/>
  <c r="O54" s="1"/>
  <c r="O56"/>
  <c r="O57" s="1"/>
  <c r="N30" i="12"/>
  <c r="S15" i="9"/>
  <c r="S9" i="10" s="1"/>
  <c r="T77" i="9"/>
  <c r="T78" s="1"/>
  <c r="P20" i="12"/>
  <c r="P28" s="1"/>
  <c r="T26" i="10"/>
  <c r="T33" s="1"/>
  <c r="S33"/>
  <c r="R9"/>
  <c r="R12" s="1"/>
  <c r="O37"/>
  <c r="P35"/>
  <c r="K31" i="12"/>
  <c r="T13" i="9"/>
  <c r="U10" s="1"/>
  <c r="U12" s="1"/>
  <c r="O24" i="12"/>
  <c r="O23" s="1"/>
  <c r="O29" s="1"/>
  <c r="Q13" i="10"/>
  <c r="Q44" l="1"/>
  <c r="Q47" s="1"/>
  <c r="Q35"/>
  <c r="Q37" s="1"/>
  <c r="M32" i="12" s="1"/>
  <c r="O30"/>
  <c r="P30"/>
  <c r="R36" i="10"/>
  <c r="P56"/>
  <c r="P57" s="1"/>
  <c r="P44"/>
  <c r="P47" s="1"/>
  <c r="P37"/>
  <c r="L32" i="12" s="1"/>
  <c r="U77" i="9"/>
  <c r="U78" s="1"/>
  <c r="U26" i="10"/>
  <c r="Q20" i="12"/>
  <c r="Q28" s="1"/>
  <c r="Q51" i="10"/>
  <c r="Q53" s="1"/>
  <c r="P51"/>
  <c r="P53" s="1"/>
  <c r="P54" s="1"/>
  <c r="T15" i="9"/>
  <c r="P24" i="12" s="1"/>
  <c r="P23" s="1"/>
  <c r="P29" s="1"/>
  <c r="K32"/>
  <c r="R13" i="10"/>
  <c r="S36"/>
  <c r="S12"/>
  <c r="L31" i="12"/>
  <c r="P41" i="10"/>
  <c r="Q56"/>
  <c r="U13" i="9"/>
  <c r="V10" s="1"/>
  <c r="V12" s="1"/>
  <c r="Q54" i="10" l="1"/>
  <c r="T9"/>
  <c r="R44"/>
  <c r="R47" s="1"/>
  <c r="R35"/>
  <c r="R37" s="1"/>
  <c r="N32" i="12" s="1"/>
  <c r="R20"/>
  <c r="R28" s="1"/>
  <c r="V77" i="9"/>
  <c r="V78" s="1"/>
  <c r="V26" i="10"/>
  <c r="V33" s="1"/>
  <c r="U33"/>
  <c r="R51"/>
  <c r="R53" s="1"/>
  <c r="R54" s="1"/>
  <c r="U15" i="9"/>
  <c r="U9" i="10" s="1"/>
  <c r="Q57"/>
  <c r="V13" i="9"/>
  <c r="W10" s="1"/>
  <c r="W12" s="1"/>
  <c r="Q41" i="10"/>
  <c r="M31" i="12"/>
  <c r="T36" i="10"/>
  <c r="T12"/>
  <c r="S13"/>
  <c r="R56"/>
  <c r="S44" l="1"/>
  <c r="S35"/>
  <c r="S37" s="1"/>
  <c r="O32" i="12" s="1"/>
  <c r="R30"/>
  <c r="Q24"/>
  <c r="Q23" s="1"/>
  <c r="Q29" s="1"/>
  <c r="Q30"/>
  <c r="V15" i="9"/>
  <c r="V9" i="10" s="1"/>
  <c r="S20" i="12"/>
  <c r="S28" s="1"/>
  <c r="W26" i="10"/>
  <c r="W33" s="1"/>
  <c r="W77" i="9"/>
  <c r="W78" s="1"/>
  <c r="S51" i="10"/>
  <c r="S53" s="1"/>
  <c r="S54" s="1"/>
  <c r="R57"/>
  <c r="R24" i="12"/>
  <c r="R23" s="1"/>
  <c r="R29" s="1"/>
  <c r="N31"/>
  <c r="R41" i="10"/>
  <c r="S47"/>
  <c r="S56"/>
  <c r="T13"/>
  <c r="U36"/>
  <c r="U12"/>
  <c r="W13" i="9"/>
  <c r="X10" s="1"/>
  <c r="X12" s="1"/>
  <c r="W15" l="1"/>
  <c r="W9" i="10" s="1"/>
  <c r="T44"/>
  <c r="T47" s="1"/>
  <c r="T35"/>
  <c r="T37" s="1"/>
  <c r="P32" i="12" s="1"/>
  <c r="T20"/>
  <c r="T28" s="1"/>
  <c r="X77" i="9"/>
  <c r="X78" s="1"/>
  <c r="X26" i="10"/>
  <c r="X33" s="1"/>
  <c r="T51"/>
  <c r="T53" s="1"/>
  <c r="T54" s="1"/>
  <c r="S57"/>
  <c r="S24" i="12"/>
  <c r="S23" s="1"/>
  <c r="S29" s="1"/>
  <c r="V36" i="10"/>
  <c r="V12"/>
  <c r="X13" i="9"/>
  <c r="Y10" s="1"/>
  <c r="Y12" s="1"/>
  <c r="U13" i="10"/>
  <c r="T56"/>
  <c r="T57" s="1"/>
  <c r="O31" i="12"/>
  <c r="S41" i="10"/>
  <c r="U35" l="1"/>
  <c r="U37" s="1"/>
  <c r="Q32" i="12" s="1"/>
  <c r="S30"/>
  <c r="T30"/>
  <c r="U51" i="10"/>
  <c r="U53" s="1"/>
  <c r="U54" s="1"/>
  <c r="U44"/>
  <c r="U47" s="1"/>
  <c r="X15" i="9"/>
  <c r="X9" i="10" s="1"/>
  <c r="U20" i="12"/>
  <c r="U28" s="1"/>
  <c r="Y77" i="9"/>
  <c r="Y78" s="1"/>
  <c r="Y26" i="10"/>
  <c r="Y33" s="1"/>
  <c r="P31" i="12"/>
  <c r="T41" i="10"/>
  <c r="T24" i="12"/>
  <c r="T23" s="1"/>
  <c r="T29" s="1"/>
  <c r="U56" i="10"/>
  <c r="U57" s="1"/>
  <c r="Y13" i="9"/>
  <c r="Z10" s="1"/>
  <c r="Z12" s="1"/>
  <c r="V13" i="10"/>
  <c r="W36"/>
  <c r="W12"/>
  <c r="V35" l="1"/>
  <c r="V37" s="1"/>
  <c r="R32" i="12" s="1"/>
  <c r="Z77" i="9"/>
  <c r="Z78" s="1"/>
  <c r="Z26" i="10"/>
  <c r="Z33" s="1"/>
  <c r="V20" i="12"/>
  <c r="V28" s="1"/>
  <c r="Y15" i="9"/>
  <c r="U24" i="12" s="1"/>
  <c r="U23" s="1"/>
  <c r="U29" s="1"/>
  <c r="Z13" i="9"/>
  <c r="AA10" s="1"/>
  <c r="AA12" s="1"/>
  <c r="Q31" i="12"/>
  <c r="U41" i="10"/>
  <c r="X36"/>
  <c r="X12"/>
  <c r="W13"/>
  <c r="V56"/>
  <c r="V57" s="1"/>
  <c r="V44" l="1"/>
  <c r="V47" s="1"/>
  <c r="V51"/>
  <c r="V53" s="1"/>
  <c r="V54" s="1"/>
  <c r="W35"/>
  <c r="W37" s="1"/>
  <c r="S32" i="12" s="1"/>
  <c r="Y9" i="10"/>
  <c r="Y36" s="1"/>
  <c r="V30" i="12"/>
  <c r="U30"/>
  <c r="W51" i="10"/>
  <c r="W53" s="1"/>
  <c r="W20" i="12"/>
  <c r="W28" s="1"/>
  <c r="AA77" i="9"/>
  <c r="AA78" s="1"/>
  <c r="AA26" i="10"/>
  <c r="AA33" s="1"/>
  <c r="Z15" i="9"/>
  <c r="V24" i="12" s="1"/>
  <c r="V23" s="1"/>
  <c r="V29" s="1"/>
  <c r="Y12" i="10"/>
  <c r="R31" i="12"/>
  <c r="V41" i="10"/>
  <c r="W56"/>
  <c r="W57" s="1"/>
  <c r="X13"/>
  <c r="AA13" i="9"/>
  <c r="AB10" s="1"/>
  <c r="AB12" s="1"/>
  <c r="W54" i="10" l="1"/>
  <c r="W44"/>
  <c r="W47" s="1"/>
  <c r="X35"/>
  <c r="X37" s="1"/>
  <c r="T32" i="12" s="1"/>
  <c r="Z9" i="10"/>
  <c r="Z36" s="1"/>
  <c r="W30" i="12"/>
  <c r="AB77" i="9"/>
  <c r="AB78" s="1"/>
  <c r="X20" i="12"/>
  <c r="X28" s="1"/>
  <c r="AB26" i="10"/>
  <c r="AB33" s="1"/>
  <c r="AA15" i="9"/>
  <c r="W24" i="12" s="1"/>
  <c r="W23" s="1"/>
  <c r="W29" s="1"/>
  <c r="AB13" i="9"/>
  <c r="AC10" s="1"/>
  <c r="AC12" s="1"/>
  <c r="S31" i="12"/>
  <c r="W41" i="10"/>
  <c r="X56"/>
  <c r="X57" s="1"/>
  <c r="Z12"/>
  <c r="Y13"/>
  <c r="AA9" l="1"/>
  <c r="X44"/>
  <c r="X47" s="1"/>
  <c r="X51"/>
  <c r="X53" s="1"/>
  <c r="X54" s="1"/>
  <c r="Y35"/>
  <c r="Y37" s="1"/>
  <c r="U32" i="12" s="1"/>
  <c r="Y51" i="10"/>
  <c r="Y53" s="1"/>
  <c r="Y54" s="1"/>
  <c r="Y44"/>
  <c r="AC77" i="9"/>
  <c r="AC78" s="1"/>
  <c r="AC26" i="10"/>
  <c r="AC33" s="1"/>
  <c r="Y20" i="12"/>
  <c r="Y28" s="1"/>
  <c r="AB15" i="9"/>
  <c r="AB9" i="10" s="1"/>
  <c r="Y56"/>
  <c r="Y57" s="1"/>
  <c r="Y47"/>
  <c r="Z13"/>
  <c r="AA36"/>
  <c r="AA12"/>
  <c r="T31" i="12"/>
  <c r="X41" i="10"/>
  <c r="X24" i="12"/>
  <c r="X23" s="1"/>
  <c r="X29" s="1"/>
  <c r="AC13" i="9"/>
  <c r="AD10" s="1"/>
  <c r="AD12" s="1"/>
  <c r="Z35" i="10" l="1"/>
  <c r="Z37" s="1"/>
  <c r="V32" i="12" s="1"/>
  <c r="X30"/>
  <c r="Z51" i="10"/>
  <c r="Z53" s="1"/>
  <c r="Z54" s="1"/>
  <c r="AD26"/>
  <c r="AD33" s="1"/>
  <c r="AD77" i="9"/>
  <c r="AD78" s="1"/>
  <c r="Z20" i="12"/>
  <c r="Z28" s="1"/>
  <c r="AC15" i="9"/>
  <c r="AC9" i="10" s="1"/>
  <c r="AD13" i="9"/>
  <c r="AE10" s="1"/>
  <c r="AE12" s="1"/>
  <c r="AB36" i="10"/>
  <c r="AB12"/>
  <c r="AA13"/>
  <c r="AA15" s="1"/>
  <c r="U31" i="12"/>
  <c r="Y41" i="10"/>
  <c r="Z56" l="1"/>
  <c r="Z57" s="1"/>
  <c r="Y24" i="12"/>
  <c r="Y23" s="1"/>
  <c r="Y29" s="1"/>
  <c r="Z44" i="10"/>
  <c r="Z47" s="1"/>
  <c r="AA35"/>
  <c r="Y30" i="12"/>
  <c r="Z30"/>
  <c r="AA51" i="10"/>
  <c r="AA53" s="1"/>
  <c r="AA54" s="1"/>
  <c r="AA44"/>
  <c r="AA47" s="1"/>
  <c r="AD15" i="9"/>
  <c r="Z24" i="12" s="1"/>
  <c r="Z23" s="1"/>
  <c r="Z29" s="1"/>
  <c r="AA20"/>
  <c r="AA28" s="1"/>
  <c r="AE77" i="9"/>
  <c r="AE78" s="1"/>
  <c r="AE26" i="10"/>
  <c r="AE33" s="1"/>
  <c r="V31" i="12"/>
  <c r="Z41" i="10"/>
  <c r="AD9"/>
  <c r="AA56"/>
  <c r="AA37"/>
  <c r="W32" i="12" s="1"/>
  <c r="AB13" i="10"/>
  <c r="AB35" s="1"/>
  <c r="AE13" i="9"/>
  <c r="AF10" s="1"/>
  <c r="AF12" s="1"/>
  <c r="AC36" i="10"/>
  <c r="AC12"/>
  <c r="AA57" l="1"/>
  <c r="AA30" i="12"/>
  <c r="AB51" i="10"/>
  <c r="AB53" s="1"/>
  <c r="AB54" s="1"/>
  <c r="AB44"/>
  <c r="AF77" i="9"/>
  <c r="AF78" s="1"/>
  <c r="AF26" i="10"/>
  <c r="AF33" s="1"/>
  <c r="AB20" i="12"/>
  <c r="AB28" s="1"/>
  <c r="AE15" i="9"/>
  <c r="AE9" i="10" s="1"/>
  <c r="AF13" i="9"/>
  <c r="AG10" s="1"/>
  <c r="AG12" s="1"/>
  <c r="AB47" i="10"/>
  <c r="AB56"/>
  <c r="AB57" s="1"/>
  <c r="AB37"/>
  <c r="X32" i="12" s="1"/>
  <c r="W31"/>
  <c r="AA41" i="10"/>
  <c r="AC13"/>
  <c r="AC35" s="1"/>
  <c r="AA24" i="12"/>
  <c r="AA23" s="1"/>
  <c r="AA29" s="1"/>
  <c r="AD36" i="10"/>
  <c r="AD12"/>
  <c r="AB30" i="12" l="1"/>
  <c r="AC51" i="10"/>
  <c r="AC53" s="1"/>
  <c r="AC54" s="1"/>
  <c r="AC44"/>
  <c r="AF15" i="9"/>
  <c r="AF9" i="10" s="1"/>
  <c r="AG77" i="9"/>
  <c r="AG78" s="1"/>
  <c r="AC20" i="12"/>
  <c r="AC28" s="1"/>
  <c r="AG26" i="10"/>
  <c r="AG33" s="1"/>
  <c r="AD13"/>
  <c r="AD35" s="1"/>
  <c r="AC56"/>
  <c r="AC57" s="1"/>
  <c r="AC47"/>
  <c r="AC37"/>
  <c r="Y32" i="12" s="1"/>
  <c r="X31"/>
  <c r="AB41" i="10"/>
  <c r="AB24" i="12"/>
  <c r="AB23" s="1"/>
  <c r="AB29" s="1"/>
  <c r="AE36" i="10"/>
  <c r="AE12"/>
  <c r="AG13" i="9"/>
  <c r="AH10" s="1"/>
  <c r="AH12" s="1"/>
  <c r="AD51" i="10" l="1"/>
  <c r="AD53" s="1"/>
  <c r="AD54" s="1"/>
  <c r="AD44"/>
  <c r="AD47" s="1"/>
  <c r="AC30" i="12"/>
  <c r="AD20"/>
  <c r="AD28" s="1"/>
  <c r="AH26" i="10"/>
  <c r="AH33" s="1"/>
  <c r="AH77" i="9"/>
  <c r="AH78" s="1"/>
  <c r="AG15"/>
  <c r="AG9" i="10" s="1"/>
  <c r="AH13" i="9"/>
  <c r="AI10" s="1"/>
  <c r="AI12" s="1"/>
  <c r="AE13" i="10"/>
  <c r="AE35" s="1"/>
  <c r="AF36"/>
  <c r="AF12"/>
  <c r="Y31" i="12"/>
  <c r="AC41" i="10"/>
  <c r="AD56"/>
  <c r="AD57" s="1"/>
  <c r="AD37"/>
  <c r="Z32" i="12" s="1"/>
  <c r="AC24" l="1"/>
  <c r="AC23" s="1"/>
  <c r="AC29" s="1"/>
  <c r="AE51" i="10"/>
  <c r="AE53" s="1"/>
  <c r="AE54" s="1"/>
  <c r="AE44"/>
  <c r="AE47" s="1"/>
  <c r="AD30" i="12"/>
  <c r="AI26" i="10"/>
  <c r="AI33" s="1"/>
  <c r="AE20" i="12"/>
  <c r="AE28" s="1"/>
  <c r="AI77" i="9"/>
  <c r="AI78" s="1"/>
  <c r="AH15"/>
  <c r="AD24" i="12" s="1"/>
  <c r="AD23" s="1"/>
  <c r="AD29" s="1"/>
  <c r="AD41" i="10"/>
  <c r="Z31" i="12"/>
  <c r="AF13" i="10"/>
  <c r="AF35" s="1"/>
  <c r="AE56"/>
  <c r="AE57" s="1"/>
  <c r="AE37"/>
  <c r="AA32" i="12" s="1"/>
  <c r="AI13" i="9"/>
  <c r="AJ10" s="1"/>
  <c r="AJ12" s="1"/>
  <c r="AG36" i="10"/>
  <c r="AG12"/>
  <c r="AH9" l="1"/>
  <c r="AH36" s="1"/>
  <c r="AF51"/>
  <c r="AF53" s="1"/>
  <c r="AF54" s="1"/>
  <c r="AF44"/>
  <c r="AF47" s="1"/>
  <c r="AI15" i="9"/>
  <c r="AE24" i="12" s="1"/>
  <c r="AE23" s="1"/>
  <c r="AE29" s="1"/>
  <c r="AE30"/>
  <c r="AJ26" i="10"/>
  <c r="AJ33" s="1"/>
  <c r="AF20" i="12"/>
  <c r="AF28" s="1"/>
  <c r="AJ77" i="9"/>
  <c r="AJ78" s="1"/>
  <c r="AJ13"/>
  <c r="AK10" s="1"/>
  <c r="AK12" s="1"/>
  <c r="AG13" i="10"/>
  <c r="AG35" s="1"/>
  <c r="AA31" i="12"/>
  <c r="AE41" i="10"/>
  <c r="AF56"/>
  <c r="AF57" s="1"/>
  <c r="AF37"/>
  <c r="AB32" i="12" s="1"/>
  <c r="AH12" i="10"/>
  <c r="AI9" l="1"/>
  <c r="AI36" s="1"/>
  <c r="AG51"/>
  <c r="AG53" s="1"/>
  <c r="AG54" s="1"/>
  <c r="AG44"/>
  <c r="AG47" s="1"/>
  <c r="AF30" i="12"/>
  <c r="AK26" i="10"/>
  <c r="AK33" s="1"/>
  <c r="AK77" i="9"/>
  <c r="AK78" s="1"/>
  <c r="AJ15"/>
  <c r="AJ9" i="10" s="1"/>
  <c r="AH13"/>
  <c r="AH35" s="1"/>
  <c r="AB31" i="12"/>
  <c r="AF41" i="10"/>
  <c r="AF24" i="12"/>
  <c r="AF23" s="1"/>
  <c r="AF29" s="1"/>
  <c r="AG56" i="10"/>
  <c r="AG57" s="1"/>
  <c r="AG37"/>
  <c r="AC32" i="12" s="1"/>
  <c r="AK13" i="9"/>
  <c r="AL10" s="1"/>
  <c r="AL12" s="1"/>
  <c r="AI12" i="10" l="1"/>
  <c r="AI13" s="1"/>
  <c r="AI35" s="1"/>
  <c r="AH51"/>
  <c r="AH53" s="1"/>
  <c r="AH54" s="1"/>
  <c r="AH44"/>
  <c r="AH47" s="1"/>
  <c r="AL26"/>
  <c r="AL33" s="1"/>
  <c r="AL77" i="9"/>
  <c r="AL78" s="1"/>
  <c r="AK15"/>
  <c r="AK9" i="10" s="1"/>
  <c r="AK36" s="1"/>
  <c r="AL13" i="9"/>
  <c r="AM10" s="1"/>
  <c r="AM12" s="1"/>
  <c r="AC31" i="12"/>
  <c r="AG41" i="10"/>
  <c r="AJ36"/>
  <c r="AJ12"/>
  <c r="AH56"/>
  <c r="AH57" s="1"/>
  <c r="AH37"/>
  <c r="AD32" i="12" s="1"/>
  <c r="AI51" i="10" l="1"/>
  <c r="AI53" s="1"/>
  <c r="AI54" s="1"/>
  <c r="AI44"/>
  <c r="AI47" s="1"/>
  <c r="AK12"/>
  <c r="AK13" s="1"/>
  <c r="AM26"/>
  <c r="AM33" s="1"/>
  <c r="AM77" i="9"/>
  <c r="AM78" s="1"/>
  <c r="AL15"/>
  <c r="AL9" i="10" s="1"/>
  <c r="AL36" s="1"/>
  <c r="AD31" i="12"/>
  <c r="AH41" i="10"/>
  <c r="AJ13"/>
  <c r="AJ35" s="1"/>
  <c r="AI56"/>
  <c r="AI57" s="1"/>
  <c r="AI37"/>
  <c r="AE32" i="12" s="1"/>
  <c r="AM13" i="9"/>
  <c r="AN10" s="1"/>
  <c r="AN12" s="1"/>
  <c r="AK44" i="10" l="1"/>
  <c r="AK47" s="1"/>
  <c r="AK35"/>
  <c r="AL12"/>
  <c r="AL13" s="1"/>
  <c r="AL35" s="1"/>
  <c r="AJ51"/>
  <c r="AJ53" s="1"/>
  <c r="AJ54" s="1"/>
  <c r="AJ44"/>
  <c r="AJ47" s="1"/>
  <c r="AM15" i="9"/>
  <c r="AM9" i="10" s="1"/>
  <c r="AM36" s="1"/>
  <c r="AN26"/>
  <c r="AN33" s="1"/>
  <c r="AN77" i="9"/>
  <c r="AN78" s="1"/>
  <c r="AK51" i="10"/>
  <c r="AK53" s="1"/>
  <c r="AN13" i="9"/>
  <c r="AO10" s="1"/>
  <c r="AO12" s="1"/>
  <c r="AE31" i="12"/>
  <c r="AI41" i="10"/>
  <c r="AK56"/>
  <c r="AM12"/>
  <c r="AJ56"/>
  <c r="AJ57" s="1"/>
  <c r="AJ37"/>
  <c r="AF32" i="12" s="1"/>
  <c r="AK54" i="10" l="1"/>
  <c r="AL51"/>
  <c r="AL53" s="1"/>
  <c r="AL54" s="1"/>
  <c r="AL44"/>
  <c r="AO26"/>
  <c r="AO77" i="9"/>
  <c r="AO78" s="1"/>
  <c r="J12"/>
  <c r="J77" s="1"/>
  <c r="AK57" i="10"/>
  <c r="AN15" i="9"/>
  <c r="AN9" i="10" s="1"/>
  <c r="AN36" s="1"/>
  <c r="AK41"/>
  <c r="AK37"/>
  <c r="AL47"/>
  <c r="AL56"/>
  <c r="AL57" s="1"/>
  <c r="AM13"/>
  <c r="AM35" s="1"/>
  <c r="AO13" i="9"/>
  <c r="AO15" s="1"/>
  <c r="AF31" i="12"/>
  <c r="AJ41" i="10"/>
  <c r="AN12" l="1"/>
  <c r="AN13" s="1"/>
  <c r="AN35" s="1"/>
  <c r="AM51"/>
  <c r="AM53" s="1"/>
  <c r="AM54" s="1"/>
  <c r="AM44"/>
  <c r="AM47" s="1"/>
  <c r="AO33"/>
  <c r="J33" s="1"/>
  <c r="J26"/>
  <c r="AO9"/>
  <c r="J9" s="1"/>
  <c r="J15" i="9"/>
  <c r="AL41" i="10"/>
  <c r="AL37"/>
  <c r="AO36"/>
  <c r="AM56"/>
  <c r="AM57" s="1"/>
  <c r="AO12" l="1"/>
  <c r="J12" s="1"/>
  <c r="AN51"/>
  <c r="AN53" s="1"/>
  <c r="AN54" s="1"/>
  <c r="AN44"/>
  <c r="AN47" s="1"/>
  <c r="AM41"/>
  <c r="AM37"/>
  <c r="J36"/>
  <c r="AN56"/>
  <c r="AN57" s="1"/>
  <c r="AO13" l="1"/>
  <c r="J13" s="1"/>
  <c r="AN41"/>
  <c r="AN37"/>
  <c r="AO56" l="1"/>
  <c r="AO57" s="1"/>
  <c r="J15" l="1"/>
  <c r="AO35"/>
  <c r="AO51"/>
  <c r="AO53" s="1"/>
  <c r="AO54" s="1"/>
  <c r="J54" s="1"/>
  <c r="I17" i="11" s="1"/>
  <c r="AO44" i="10"/>
  <c r="J44" s="1"/>
  <c r="AO41" l="1"/>
  <c r="AO42" s="1"/>
  <c r="AO37"/>
  <c r="J35"/>
  <c r="N42"/>
  <c r="P42"/>
  <c r="T42"/>
  <c r="S42"/>
  <c r="U42"/>
  <c r="X42"/>
  <c r="Z42"/>
  <c r="AC42"/>
  <c r="AD42"/>
  <c r="AF42"/>
  <c r="AI42"/>
  <c r="AL42"/>
  <c r="AN42"/>
  <c r="AM42"/>
  <c r="J48"/>
  <c r="I14" i="11" s="1"/>
  <c r="I16" s="1"/>
  <c r="AO47" i="10"/>
  <c r="J47" s="1"/>
  <c r="I13" i="11" s="1"/>
  <c r="L42" i="10" l="1"/>
  <c r="J41"/>
  <c r="J42" s="1"/>
  <c r="H20" i="11" s="1"/>
  <c r="AK42" i="10"/>
  <c r="AJ42"/>
  <c r="AH42"/>
  <c r="AG42"/>
  <c r="AE42"/>
  <c r="AB42"/>
  <c r="Y42"/>
  <c r="AA42"/>
  <c r="W42"/>
  <c r="V42"/>
  <c r="R42"/>
  <c r="Q42"/>
  <c r="O42"/>
  <c r="M42"/>
  <c r="I19" i="11"/>
  <c r="H19"/>
  <c r="J49" i="10"/>
  <c r="I20" i="11"/>
</calcChain>
</file>

<file path=xl/sharedStrings.xml><?xml version="1.0" encoding="utf-8"?>
<sst xmlns="http://schemas.openxmlformats.org/spreadsheetml/2006/main" count="524" uniqueCount="201">
  <si>
    <t>Утвержденный тариф с НДС</t>
  </si>
  <si>
    <t>Выручка с НДС</t>
  </si>
  <si>
    <t>Итого</t>
  </si>
  <si>
    <t>ед. изм.</t>
  </si>
  <si>
    <t>тыс. руб.</t>
  </si>
  <si>
    <t>НДС по выручке</t>
  </si>
  <si>
    <t>Выручка без НДС</t>
  </si>
  <si>
    <t>Справочно: темп роста тарифа</t>
  </si>
  <si>
    <t>%</t>
  </si>
  <si>
    <t>Техническая вода</t>
  </si>
  <si>
    <t>Объем реализации с НДС</t>
  </si>
  <si>
    <t>Питьевая вода</t>
  </si>
  <si>
    <t>Водоотведение</t>
  </si>
  <si>
    <t>Тепло</t>
  </si>
  <si>
    <t>Население</t>
  </si>
  <si>
    <t>Коммерческие и прочие потребители</t>
  </si>
  <si>
    <t>Объем техническая вода</t>
  </si>
  <si>
    <t>Объем питьевая вода</t>
  </si>
  <si>
    <t>Объем водоотведение</t>
  </si>
  <si>
    <t>Объем тепло</t>
  </si>
  <si>
    <t>Объем реализации</t>
  </si>
  <si>
    <t>Собираемость платежей</t>
  </si>
  <si>
    <t>Потери</t>
  </si>
  <si>
    <t>Собственное потребление</t>
  </si>
  <si>
    <t>Справочно: уровень потерь</t>
  </si>
  <si>
    <t>Проверка</t>
  </si>
  <si>
    <t>тыс. куб. м.</t>
  </si>
  <si>
    <t>Поступления для денежного потока</t>
  </si>
  <si>
    <t>Объем потребления</t>
  </si>
  <si>
    <t>Удельные расходы на э/э</t>
  </si>
  <si>
    <t>Тариф на э/э с НДС</t>
  </si>
  <si>
    <t>Цена технической воды с НДС</t>
  </si>
  <si>
    <t>руб. / кВт*Ч</t>
  </si>
  <si>
    <t>руб. / кг</t>
  </si>
  <si>
    <t>Покупка технической воды</t>
  </si>
  <si>
    <t>ФОТ + взносы</t>
  </si>
  <si>
    <t>Удельные расходы на реагенты</t>
  </si>
  <si>
    <t>Цена на реагенты с НДС</t>
  </si>
  <si>
    <t>Капитальный и текущий ремонт с НДС</t>
  </si>
  <si>
    <t>руб. / куб. м</t>
  </si>
  <si>
    <t>Прочее с НДС</t>
  </si>
  <si>
    <t>Прочее без НДС</t>
  </si>
  <si>
    <t>Производственные расходы с НДС</t>
  </si>
  <si>
    <t>Покупка питьевой воды</t>
  </si>
  <si>
    <t>Цена питьевой воды с НДС</t>
  </si>
  <si>
    <t>Объем</t>
  </si>
  <si>
    <t>Утилизация отходов</t>
  </si>
  <si>
    <t>Цена утилизации отходов с НДС</t>
  </si>
  <si>
    <t>OPEX с НДС</t>
  </si>
  <si>
    <t>НДС по OPEX</t>
  </si>
  <si>
    <t>OPEX без НДС</t>
  </si>
  <si>
    <t>OPEX для денежного потока</t>
  </si>
  <si>
    <t>тыс. Гкал</t>
  </si>
  <si>
    <t xml:space="preserve"> руб. / Гкал</t>
  </si>
  <si>
    <t>Удельные расходы на топливо</t>
  </si>
  <si>
    <t>Цена на топливо с НДС</t>
  </si>
  <si>
    <t>руб. / тут.</t>
  </si>
  <si>
    <t>Цена воды с НДС</t>
  </si>
  <si>
    <t>Капитальные затраты с НДС</t>
  </si>
  <si>
    <t>НДС по CAPEX</t>
  </si>
  <si>
    <t>CAPEX для денежного потока</t>
  </si>
  <si>
    <t>Возврат НДС из бюджета</t>
  </si>
  <si>
    <t>Процент возврата НДС</t>
  </si>
  <si>
    <t>Ставка налога на имущество</t>
  </si>
  <si>
    <t>Налог на имущество</t>
  </si>
  <si>
    <t>Остаточная стоимость имущества</t>
  </si>
  <si>
    <t>Амотризация капитальных затрат</t>
  </si>
  <si>
    <t>Покупка тепла</t>
  </si>
  <si>
    <t>Цена тепла с НДС</t>
  </si>
  <si>
    <t>руб. / Гкал</t>
  </si>
  <si>
    <t>Плата концедента</t>
  </si>
  <si>
    <t>Срок полезного использования по CAPEX</t>
  </si>
  <si>
    <t>лет</t>
  </si>
  <si>
    <t>Собственные средства</t>
  </si>
  <si>
    <t>Средства субъекта РФ</t>
  </si>
  <si>
    <t>Займ Фонда ЖКХ</t>
  </si>
  <si>
    <t>Прочие кредиторы</t>
  </si>
  <si>
    <t>Основной долг на начало периода</t>
  </si>
  <si>
    <t>Привлечение</t>
  </si>
  <si>
    <t>Погашение</t>
  </si>
  <si>
    <t>Основной долг на конец периода</t>
  </si>
  <si>
    <t>Проценты</t>
  </si>
  <si>
    <t>Кредит 1</t>
  </si>
  <si>
    <t>Кредит 2</t>
  </si>
  <si>
    <t>Кредит 3</t>
  </si>
  <si>
    <t>Расчет WACC</t>
  </si>
  <si>
    <t>Доля</t>
  </si>
  <si>
    <t>Стоимость</t>
  </si>
  <si>
    <t>WACC</t>
  </si>
  <si>
    <t>Погашение основного долга</t>
  </si>
  <si>
    <t>Погашение процентов</t>
  </si>
  <si>
    <t>Взнос в УК</t>
  </si>
  <si>
    <t>Акционерный займ</t>
  </si>
  <si>
    <t>Итого по прочим кредиторам кроме Фонда ЖКХ</t>
  </si>
  <si>
    <t>Поступления от операционной деятельности</t>
  </si>
  <si>
    <t>Расходы по операционной деятельности</t>
  </si>
  <si>
    <t>Проценты по Займу Фонда ЖКХ</t>
  </si>
  <si>
    <t>Проценты прочим кредиторам</t>
  </si>
  <si>
    <t>Налогооблагаемая прибыль</t>
  </si>
  <si>
    <t>Налог на прибыль</t>
  </si>
  <si>
    <t>Операционный денежный поток</t>
  </si>
  <si>
    <t>Инвестиционный денежный поток</t>
  </si>
  <si>
    <t xml:space="preserve">Погашение </t>
  </si>
  <si>
    <t>Финансовый денежный поток</t>
  </si>
  <si>
    <t>Проценты по акционерному займу</t>
  </si>
  <si>
    <t>НДС полученный</t>
  </si>
  <si>
    <t>НДС уплаченный</t>
  </si>
  <si>
    <t>FCFF</t>
  </si>
  <si>
    <t>CFADS</t>
  </si>
  <si>
    <t>Обслуживание долга</t>
  </si>
  <si>
    <t>DSCR</t>
  </si>
  <si>
    <t>CFADS (PV)</t>
  </si>
  <si>
    <t>Коэффициент дисконтирования</t>
  </si>
  <si>
    <t>Расчет WACC для LLCR</t>
  </si>
  <si>
    <t>Средневзвешенная стоимость долга</t>
  </si>
  <si>
    <t>LLCR</t>
  </si>
  <si>
    <t>PV</t>
  </si>
  <si>
    <t>IRR</t>
  </si>
  <si>
    <t>IRR / WACC</t>
  </si>
  <si>
    <t>Привлечение долга</t>
  </si>
  <si>
    <t>Погашение долга</t>
  </si>
  <si>
    <t>Остаток долга</t>
  </si>
  <si>
    <t>x</t>
  </si>
  <si>
    <t>Удельный расход воды</t>
  </si>
  <si>
    <t>тыс. куб. м / тыс. Гкал</t>
  </si>
  <si>
    <t>Субсидии на эксплуатационной стадии</t>
  </si>
  <si>
    <t>Целевое финансирование CAPEX</t>
  </si>
  <si>
    <t>Простой срок окупаемости</t>
  </si>
  <si>
    <t>Неподконтрольные расходы</t>
  </si>
  <si>
    <t>Штрафы НВОС, предписания за НВОС</t>
  </si>
  <si>
    <t>Водоснабжение</t>
  </si>
  <si>
    <t>Показатели проекта</t>
  </si>
  <si>
    <t>Стоимость проекта</t>
  </si>
  <si>
    <t>Значение</t>
  </si>
  <si>
    <t>Контрольное значение</t>
  </si>
  <si>
    <t>Длительность инвестиционной фазы</t>
  </si>
  <si>
    <t>Доля Фонда ЖКХ в финансировании</t>
  </si>
  <si>
    <t>Срок погашения займа Фонда ЖКХ</t>
  </si>
  <si>
    <t>год</t>
  </si>
  <si>
    <t>Показатели доходности</t>
  </si>
  <si>
    <t>NPV</t>
  </si>
  <si>
    <t>Кредитные метрики</t>
  </si>
  <si>
    <t xml:space="preserve">мин. </t>
  </si>
  <si>
    <t>средн.</t>
  </si>
  <si>
    <t>Срок окупаемости</t>
  </si>
  <si>
    <t>х</t>
  </si>
  <si>
    <t>Акцимонерный займ</t>
  </si>
  <si>
    <t>Основной долг</t>
  </si>
  <si>
    <t>Предварительная сокращенная финансовая модель</t>
  </si>
  <si>
    <t>по проекту</t>
  </si>
  <si>
    <r>
      <t>Субъект РФ [</t>
    </r>
    <r>
      <rPr>
        <sz val="11"/>
        <color theme="1"/>
        <rFont val="Calibri"/>
        <family val="2"/>
        <charset val="204"/>
      </rPr>
      <t>•</t>
    </r>
    <r>
      <rPr>
        <sz val="11"/>
        <color theme="1"/>
        <rFont val="Calibri"/>
        <family val="2"/>
        <charset val="204"/>
        <scheme val="minor"/>
      </rPr>
      <t>]</t>
    </r>
  </si>
  <si>
    <t>Контактное лицо: [•]</t>
  </si>
  <si>
    <t>Телефон: [•]; е-мейл: [•]</t>
  </si>
  <si>
    <t>В ГК - Фонд содействия реформированию ЖКХ</t>
  </si>
  <si>
    <t>от компании [•]</t>
  </si>
  <si>
    <r>
      <t>[</t>
    </r>
    <r>
      <rPr>
        <sz val="16"/>
        <color theme="1"/>
        <rFont val="Calibri"/>
        <family val="2"/>
        <charset val="204"/>
      </rPr>
      <t>•</t>
    </r>
    <r>
      <rPr>
        <sz val="16"/>
        <color theme="1"/>
        <rFont val="Calibri"/>
        <family val="2"/>
        <charset val="204"/>
        <scheme val="minor"/>
      </rPr>
      <t>]</t>
    </r>
  </si>
  <si>
    <t>Версия: [•]</t>
  </si>
  <si>
    <t>Заявитель заполняет незакрашенные ячейки</t>
  </si>
  <si>
    <t>Лист</t>
  </si>
  <si>
    <t>Требуемая информация</t>
  </si>
  <si>
    <t>Пояснения</t>
  </si>
  <si>
    <t>Ссылка</t>
  </si>
  <si>
    <t>Титул</t>
  </si>
  <si>
    <t>Содержание</t>
  </si>
  <si>
    <t>Выручка</t>
  </si>
  <si>
    <t>OPEX</t>
  </si>
  <si>
    <t>CAPEX</t>
  </si>
  <si>
    <t>Источники_Долг_WACC</t>
  </si>
  <si>
    <t>CF</t>
  </si>
  <si>
    <t>Табло</t>
  </si>
  <si>
    <t>ссылка</t>
  </si>
  <si>
    <t>Не требует заполнения</t>
  </si>
  <si>
    <t>Текущий лист</t>
  </si>
  <si>
    <t>Лист для расчета свободного денежного потока; потока для обслуживания долга; прочих аналитических показателей</t>
  </si>
  <si>
    <t>Вывод предварительных результатов анализа</t>
  </si>
  <si>
    <t>DSCR - ковенант</t>
  </si>
  <si>
    <t>DSCR (правая шкала)</t>
  </si>
  <si>
    <t>Объем капитальных затрат с НДС по проекту, включая проектно-изыскательные, строительно-монтажные работы, приобретение оборудования и т.п., без детализации</t>
  </si>
  <si>
    <t>Теплоснабжение</t>
  </si>
  <si>
    <t>Заявитель заполняет данные об объеме реализации и тарифах для своего вида деятельности: водоснабжение, водоотведение, теплоснабжение.
Информация о собираемости платежей предоставляется в виде среднего показателя за 3 последних года.
Плата концедента и субсидии указываются по проекту в целом, без привязки к конкретному виду услуги ЖКХ.</t>
  </si>
  <si>
    <t>Текущие затраты по проекту</t>
  </si>
  <si>
    <r>
      <t xml:space="preserve">Доля капитальных затрат, финансируемых за счет различных источников (в %):
</t>
    </r>
    <r>
      <rPr>
        <sz val="11"/>
        <color theme="0"/>
        <rFont val="Calibri"/>
        <family val="2"/>
        <charset val="204"/>
      </rPr>
      <t>• Собственные средства заявителя;
• Средства субъекта РФ;
• Средства Фонда ЖКХ;
• Средства прочих кредиторов.
Оценка заявителем стоимости собственного акционерного капитала (если применимо)</t>
    </r>
  </si>
  <si>
    <r>
      <t xml:space="preserve">• Объем реализации коммунальной услуги;
• Тариф (действующий и прогнозный);
• Собираемость платежей;
</t>
    </r>
    <r>
      <rPr>
        <sz val="11"/>
        <color theme="0"/>
        <rFont val="Calibri"/>
        <family val="2"/>
        <charset val="204"/>
      </rPr>
      <t>• Прогнозные показатели платы концедента (если применимо);
• Прогнозные показатели субсидий на эксплуатационной стадии (если применимо)</t>
    </r>
  </si>
  <si>
    <r>
      <rPr>
        <sz val="11"/>
        <color theme="0"/>
        <rFont val="Calibri"/>
        <family val="2"/>
        <charset val="204"/>
      </rPr>
      <t xml:space="preserve">• </t>
    </r>
    <r>
      <rPr>
        <sz val="11"/>
        <color theme="0"/>
        <rFont val="Calibri"/>
        <family val="2"/>
        <charset val="204"/>
        <scheme val="minor"/>
      </rPr>
      <t>Наименование заявителя;
• Субъект РФ, в котором реализуется проект;
• Наименование проекта;
• Версия фин. Модели;
• Дата составления;
• Контактное лицо по фин. модели;
• Координаты контактного лица</t>
    </r>
  </si>
  <si>
    <t>Подлежит заполнению для сферы коммунальной инфраструктуры, соответствующей проекту</t>
  </si>
  <si>
    <t>Накопленный операционный поток</t>
  </si>
  <si>
    <t>Накопленный инвестиционный поток</t>
  </si>
  <si>
    <t>Превышение</t>
  </si>
  <si>
    <t>Чистый денежный поток</t>
  </si>
  <si>
    <t>Накопленный чистый денежный поток (кеш позиция)</t>
  </si>
  <si>
    <t>Плата за технологическое подключение</t>
  </si>
  <si>
    <t>Справочно: амортизационные отчисления</t>
  </si>
  <si>
    <t>Проект:</t>
  </si>
  <si>
    <r>
      <t xml:space="preserve">Целями заполнения данного листа являются:
</t>
    </r>
    <r>
      <rPr>
        <sz val="11"/>
        <color theme="0"/>
        <rFont val="Calibri"/>
        <family val="2"/>
        <charset val="204"/>
      </rPr>
      <t>• укрупненный, но точный учет прогнозируемых текущих расходов заявителя, без детализации;
• разделение статей, облагаемых НДС (топливо, оборудование и т.п.), и не облагаемых НДС (ФОТ, налоги и т.п.).
На этом листе заявителем НЕ заполняются данные о капитальных расходах, расходах по уплате в бюджет НДС и налога на прибыль, а также расходах на обслуживание долговых обязательств заявителя.</t>
    </r>
  </si>
  <si>
    <t>Возврат НДС по CAPEX из бюджета</t>
  </si>
  <si>
    <t>Капитальные вложения (CAPEX)</t>
  </si>
  <si>
    <t>Капитальные затраты (CAPEX) с НДС</t>
  </si>
  <si>
    <t>- 0% для заявителей, ценные бумаги которых допущены к обращению организатором торгов; 5% - для прочих</t>
  </si>
  <si>
    <r>
      <t xml:space="preserve">Требуется внесение справочных данных о величине </t>
    </r>
    <r>
      <rPr>
        <b/>
        <sz val="11"/>
        <color theme="0"/>
        <rFont val="Calibri"/>
        <family val="2"/>
        <charset val="204"/>
        <scheme val="minor"/>
      </rPr>
      <t>амортизационных отчислений</t>
    </r>
    <r>
      <rPr>
        <sz val="11"/>
        <color theme="0"/>
        <rFont val="Calibri"/>
        <family val="2"/>
        <charset val="204"/>
        <scheme val="minor"/>
      </rPr>
      <t xml:space="preserve"> для расчета налога на прибыль (с отрицательным знаком)</t>
    </r>
  </si>
  <si>
    <t>EBITDA</t>
  </si>
  <si>
    <t>- ключевая ставка ЦБ РФ</t>
  </si>
</sst>
</file>

<file path=xl/styles.xml><?xml version="1.0" encoding="utf-8"?>
<styleSheet xmlns="http://schemas.openxmlformats.org/spreadsheetml/2006/main">
  <numFmts count="11">
    <numFmt numFmtId="8" formatCode="#,##0.00&quot;р.&quot;;[Red]\-#,##0.00&quot;р.&quot;"/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_-* #,##0.0_р_._-;\-* #,##0.0_р_._-;_-* &quot;-&quot;??_р_._-;_-@_-"/>
    <numFmt numFmtId="166" formatCode="_-* #,##0_р_._-;\-* #,##0_р_._-;_-* &quot;-&quot;??_р_._-;_-@_-"/>
    <numFmt numFmtId="167" formatCode="_-* #,##0_р_._-;\-* #,##0_р_._-;_-* &quot;-&quot;?_р_._-;_-@_-"/>
    <numFmt numFmtId="168" formatCode="_-* #,##0.0_р_._-;\-* #,##0.0_р_._-;_-* &quot;-&quot;_р_._-;_-@_-"/>
    <numFmt numFmtId="169" formatCode="_-* #,##0.00_р_._-;\-* #,##0.00_р_._-;_-* &quot;-&quot;_р_._-;_-@_-"/>
    <numFmt numFmtId="170" formatCode="#,##0__\л\е\т"/>
    <numFmt numFmtId="171" formatCode="0.000%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</font>
    <font>
      <u/>
      <sz val="11"/>
      <color theme="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5" fontId="3" fillId="2" borderId="0" xfId="2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9" fontId="3" fillId="2" borderId="0" xfId="1" applyFont="1" applyFill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/>
    <xf numFmtId="0" fontId="6" fillId="2" borderId="0" xfId="0" applyFont="1" applyFill="1"/>
    <xf numFmtId="0" fontId="6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165" fontId="3" fillId="0" borderId="0" xfId="2" applyNumberFormat="1" applyFont="1" applyFill="1"/>
    <xf numFmtId="165" fontId="3" fillId="0" borderId="0" xfId="0" applyNumberFormat="1" applyFont="1" applyFill="1"/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9" fontId="3" fillId="0" borderId="0" xfId="1" applyFont="1" applyFill="1"/>
    <xf numFmtId="166" fontId="3" fillId="2" borderId="1" xfId="2" applyNumberFormat="1" applyFont="1" applyFill="1" applyBorder="1"/>
    <xf numFmtId="166" fontId="3" fillId="2" borderId="0" xfId="2" applyNumberFormat="1" applyFont="1" applyFill="1"/>
    <xf numFmtId="166" fontId="3" fillId="2" borderId="2" xfId="2" applyNumberFormat="1" applyFont="1" applyFill="1" applyBorder="1"/>
    <xf numFmtId="166" fontId="2" fillId="2" borderId="1" xfId="2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166" fontId="2" fillId="2" borderId="0" xfId="2" applyNumberFormat="1" applyFont="1" applyFill="1" applyAlignment="1">
      <alignment horizontal="center"/>
    </xf>
    <xf numFmtId="166" fontId="3" fillId="3" borderId="0" xfId="2" applyNumberFormat="1" applyFont="1" applyFill="1" applyBorder="1"/>
    <xf numFmtId="166" fontId="2" fillId="2" borderId="2" xfId="2" applyNumberFormat="1" applyFont="1" applyFill="1" applyBorder="1" applyAlignment="1">
      <alignment horizontal="center"/>
    </xf>
    <xf numFmtId="166" fontId="3" fillId="0" borderId="1" xfId="2" applyNumberFormat="1" applyFont="1" applyFill="1" applyBorder="1"/>
    <xf numFmtId="9" fontId="2" fillId="2" borderId="0" xfId="1" applyFont="1" applyFill="1" applyAlignment="1">
      <alignment horizontal="center"/>
    </xf>
    <xf numFmtId="164" fontId="3" fillId="0" borderId="0" xfId="1" applyNumberFormat="1" applyFont="1" applyFill="1"/>
    <xf numFmtId="166" fontId="3" fillId="0" borderId="0" xfId="2" applyNumberFormat="1" applyFont="1" applyFill="1"/>
    <xf numFmtId="0" fontId="6" fillId="2" borderId="4" xfId="0" applyFont="1" applyFill="1" applyBorder="1"/>
    <xf numFmtId="0" fontId="3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6" fillId="0" borderId="4" xfId="0" applyFont="1" applyBorder="1"/>
    <xf numFmtId="0" fontId="6" fillId="2" borderId="3" xfId="0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6" fillId="0" borderId="3" xfId="0" applyFont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3" fillId="3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0" borderId="0" xfId="0" applyFont="1" applyBorder="1"/>
    <xf numFmtId="166" fontId="2" fillId="2" borderId="0" xfId="2" applyNumberFormat="1" applyFont="1" applyFill="1" applyBorder="1" applyAlignment="1">
      <alignment horizontal="center"/>
    </xf>
    <xf numFmtId="10" fontId="3" fillId="0" borderId="0" xfId="1" applyNumberFormat="1" applyFont="1" applyFill="1"/>
    <xf numFmtId="167" fontId="3" fillId="2" borderId="0" xfId="0" applyNumberFormat="1" applyFont="1" applyFill="1"/>
    <xf numFmtId="43" fontId="3" fillId="2" borderId="0" xfId="2" applyFont="1" applyFill="1"/>
    <xf numFmtId="165" fontId="2" fillId="2" borderId="0" xfId="2" applyNumberFormat="1" applyFont="1" applyFill="1" applyAlignment="1">
      <alignment horizontal="center"/>
    </xf>
    <xf numFmtId="41" fontId="3" fillId="2" borderId="1" xfId="2" applyNumberFormat="1" applyFont="1" applyFill="1" applyBorder="1"/>
    <xf numFmtId="41" fontId="3" fillId="2" borderId="0" xfId="2" applyNumberFormat="1" applyFont="1" applyFill="1"/>
    <xf numFmtId="41" fontId="6" fillId="2" borderId="0" xfId="0" applyNumberFormat="1" applyFont="1" applyFill="1"/>
    <xf numFmtId="41" fontId="6" fillId="2" borderId="0" xfId="2" applyNumberFormat="1" applyFont="1" applyFill="1"/>
    <xf numFmtId="41" fontId="3" fillId="2" borderId="3" xfId="2" applyNumberFormat="1" applyFont="1" applyFill="1" applyBorder="1"/>
    <xf numFmtId="41" fontId="6" fillId="2" borderId="3" xfId="0" applyNumberFormat="1" applyFont="1" applyFill="1" applyBorder="1"/>
    <xf numFmtId="41" fontId="3" fillId="2" borderId="4" xfId="2" applyNumberFormat="1" applyFont="1" applyFill="1" applyBorder="1"/>
    <xf numFmtId="41" fontId="6" fillId="2" borderId="4" xfId="0" applyNumberFormat="1" applyFont="1" applyFill="1" applyBorder="1"/>
    <xf numFmtId="41" fontId="3" fillId="2" borderId="0" xfId="2" applyNumberFormat="1" applyFont="1" applyFill="1" applyBorder="1"/>
    <xf numFmtId="41" fontId="6" fillId="2" borderId="0" xfId="0" applyNumberFormat="1" applyFont="1" applyFill="1" applyBorder="1"/>
    <xf numFmtId="41" fontId="6" fillId="0" borderId="0" xfId="2" applyNumberFormat="1" applyFont="1"/>
    <xf numFmtId="41" fontId="3" fillId="3" borderId="0" xfId="2" applyNumberFormat="1" applyFont="1" applyFill="1"/>
    <xf numFmtId="41" fontId="3" fillId="3" borderId="0" xfId="0" applyNumberFormat="1" applyFont="1" applyFill="1"/>
    <xf numFmtId="41" fontId="3" fillId="0" borderId="0" xfId="2" applyNumberFormat="1" applyFont="1" applyFill="1"/>
    <xf numFmtId="41" fontId="3" fillId="0" borderId="0" xfId="0" applyNumberFormat="1" applyFont="1" applyFill="1"/>
    <xf numFmtId="41" fontId="3" fillId="2" borderId="2" xfId="2" applyNumberFormat="1" applyFont="1" applyFill="1" applyBorder="1"/>
    <xf numFmtId="41" fontId="3" fillId="2" borderId="0" xfId="0" applyNumberFormat="1" applyFont="1" applyFill="1"/>
    <xf numFmtId="41" fontId="3" fillId="0" borderId="0" xfId="0" applyNumberFormat="1" applyFont="1" applyFill="1" applyBorder="1"/>
    <xf numFmtId="41" fontId="3" fillId="0" borderId="0" xfId="2" applyNumberFormat="1" applyFont="1"/>
    <xf numFmtId="41" fontId="3" fillId="2" borderId="0" xfId="1" applyNumberFormat="1" applyFont="1" applyFill="1"/>
    <xf numFmtId="9" fontId="4" fillId="0" borderId="0" xfId="1" applyFont="1" applyFill="1" applyBorder="1"/>
    <xf numFmtId="9" fontId="4" fillId="2" borderId="0" xfId="1" applyFont="1" applyFill="1"/>
    <xf numFmtId="9" fontId="4" fillId="2" borderId="0" xfId="1" applyFont="1" applyFill="1" applyAlignment="1">
      <alignment horizontal="left" indent="1"/>
    </xf>
    <xf numFmtId="9" fontId="4" fillId="2" borderId="0" xfId="1" applyFont="1" applyFill="1" applyAlignment="1">
      <alignment horizontal="center"/>
    </xf>
    <xf numFmtId="9" fontId="3" fillId="0" borderId="0" xfId="1" applyFont="1" applyFill="1" applyBorder="1"/>
    <xf numFmtId="9" fontId="4" fillId="0" borderId="0" xfId="1" applyFont="1" applyFill="1"/>
    <xf numFmtId="9" fontId="4" fillId="3" borderId="0" xfId="1" applyFont="1" applyFill="1"/>
    <xf numFmtId="166" fontId="3" fillId="2" borderId="0" xfId="0" applyNumberFormat="1" applyFont="1" applyFill="1"/>
    <xf numFmtId="164" fontId="3" fillId="2" borderId="0" xfId="1" applyNumberFormat="1" applyFont="1" applyFill="1"/>
    <xf numFmtId="8" fontId="3" fillId="0" borderId="0" xfId="2" applyNumberFormat="1" applyFont="1" applyFill="1"/>
    <xf numFmtId="164" fontId="3" fillId="2" borderId="0" xfId="0" applyNumberFormat="1" applyFont="1" applyFill="1"/>
    <xf numFmtId="164" fontId="3" fillId="2" borderId="2" xfId="0" applyNumberFormat="1" applyFont="1" applyFill="1" applyBorder="1"/>
    <xf numFmtId="164" fontId="3" fillId="2" borderId="2" xfId="1" applyNumberFormat="1" applyFont="1" applyFill="1" applyBorder="1"/>
    <xf numFmtId="168" fontId="6" fillId="0" borderId="3" xfId="2" applyNumberFormat="1" applyFont="1" applyBorder="1"/>
    <xf numFmtId="169" fontId="6" fillId="0" borderId="3" xfId="2" applyNumberFormat="1" applyFont="1" applyBorder="1"/>
    <xf numFmtId="43" fontId="3" fillId="0" borderId="0" xfId="2" applyFont="1" applyFill="1" applyBorder="1"/>
    <xf numFmtId="2" fontId="3" fillId="2" borderId="0" xfId="0" applyNumberFormat="1" applyFont="1" applyFill="1"/>
    <xf numFmtId="168" fontId="6" fillId="2" borderId="4" xfId="2" applyNumberFormat="1" applyFont="1" applyFill="1" applyBorder="1"/>
    <xf numFmtId="168" fontId="6" fillId="2" borderId="0" xfId="2" applyNumberFormat="1" applyFont="1" applyFill="1"/>
    <xf numFmtId="168" fontId="6" fillId="0" borderId="4" xfId="2" applyNumberFormat="1" applyFont="1" applyBorder="1"/>
    <xf numFmtId="168" fontId="6" fillId="0" borderId="0" xfId="2" applyNumberFormat="1" applyFont="1" applyBorder="1"/>
    <xf numFmtId="41" fontId="3" fillId="2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166" fontId="3" fillId="0" borderId="0" xfId="2" applyNumberFormat="1" applyFont="1" applyFill="1" applyBorder="1"/>
    <xf numFmtId="0" fontId="6" fillId="0" borderId="0" xfId="0" applyFont="1" applyFill="1" applyBorder="1"/>
    <xf numFmtId="169" fontId="6" fillId="0" borderId="4" xfId="2" applyNumberFormat="1" applyFont="1" applyBorder="1"/>
    <xf numFmtId="43" fontId="0" fillId="0" borderId="0" xfId="2" applyFont="1"/>
    <xf numFmtId="43" fontId="2" fillId="2" borderId="0" xfId="2" applyFont="1" applyFill="1" applyAlignment="1">
      <alignment horizontal="center"/>
    </xf>
    <xf numFmtId="4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166" fontId="0" fillId="0" borderId="0" xfId="2" applyNumberFormat="1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166" fontId="0" fillId="0" borderId="8" xfId="2" applyNumberFormat="1" applyFont="1" applyBorder="1"/>
    <xf numFmtId="166" fontId="0" fillId="0" borderId="9" xfId="2" applyNumberFormat="1" applyFont="1" applyBorder="1"/>
    <xf numFmtId="0" fontId="0" fillId="0" borderId="10" xfId="0" applyBorder="1"/>
    <xf numFmtId="9" fontId="0" fillId="0" borderId="10" xfId="1" applyFont="1" applyBorder="1"/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3" fontId="0" fillId="0" borderId="10" xfId="2" applyFont="1" applyBorder="1"/>
    <xf numFmtId="43" fontId="0" fillId="0" borderId="11" xfId="2" applyFon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8" xfId="2" applyFont="1" applyBorder="1"/>
    <xf numFmtId="43" fontId="0" fillId="0" borderId="9" xfId="2" applyFont="1" applyBorder="1"/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11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0" xfId="1" applyFont="1" applyAlignment="1">
      <alignment horizontal="center"/>
    </xf>
    <xf numFmtId="14" fontId="9" fillId="0" borderId="0" xfId="0" applyNumberFormat="1" applyFont="1" applyAlignment="1">
      <alignment horizontal="centerContinuous"/>
    </xf>
    <xf numFmtId="0" fontId="0" fillId="0" borderId="0" xfId="0" applyAlignment="1">
      <alignment vertical="center"/>
    </xf>
    <xf numFmtId="0" fontId="13" fillId="4" borderId="4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 wrapText="1"/>
    </xf>
    <xf numFmtId="0" fontId="16" fillId="4" borderId="12" xfId="3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43" fontId="0" fillId="0" borderId="0" xfId="0" applyNumberFormat="1"/>
    <xf numFmtId="0" fontId="16" fillId="4" borderId="4" xfId="3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169" fontId="3" fillId="0" borderId="0" xfId="2" applyNumberFormat="1" applyFont="1"/>
    <xf numFmtId="166" fontId="3" fillId="0" borderId="0" xfId="0" applyNumberFormat="1" applyFont="1" applyFill="1"/>
    <xf numFmtId="171" fontId="3" fillId="0" borderId="0" xfId="1" applyNumberFormat="1" applyFont="1" applyFill="1"/>
    <xf numFmtId="165" fontId="3" fillId="0" borderId="0" xfId="2" applyNumberFormat="1" applyFont="1" applyFill="1" applyBorder="1"/>
    <xf numFmtId="41" fontId="3" fillId="0" borderId="0" xfId="2" applyNumberFormat="1" applyFont="1" applyFill="1" applyBorder="1"/>
    <xf numFmtId="169" fontId="3" fillId="0" borderId="0" xfId="2" applyNumberFormat="1" applyFont="1" applyFill="1" applyBorder="1"/>
    <xf numFmtId="0" fontId="14" fillId="4" borderId="12" xfId="3" applyFill="1" applyBorder="1" applyAlignment="1" applyProtection="1">
      <alignment horizontal="center" vertical="center"/>
    </xf>
    <xf numFmtId="0" fontId="14" fillId="5" borderId="12" xfId="3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17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166" fontId="2" fillId="0" borderId="0" xfId="2" applyNumberFormat="1" applyFont="1" applyFill="1" applyAlignment="1">
      <alignment horizontal="center"/>
    </xf>
    <xf numFmtId="166" fontId="3" fillId="2" borderId="13" xfId="2" applyNumberFormat="1" applyFont="1" applyFill="1" applyBorder="1"/>
    <xf numFmtId="170" fontId="3" fillId="0" borderId="14" xfId="0" applyNumberFormat="1" applyFont="1" applyFill="1" applyBorder="1"/>
    <xf numFmtId="170" fontId="3" fillId="0" borderId="15" xfId="0" applyNumberFormat="1" applyFont="1" applyFill="1" applyBorder="1"/>
    <xf numFmtId="164" fontId="3" fillId="0" borderId="16" xfId="1" applyNumberFormat="1" applyFont="1" applyFill="1" applyBorder="1"/>
    <xf numFmtId="9" fontId="3" fillId="0" borderId="16" xfId="0" applyNumberFormat="1" applyFont="1" applyFill="1" applyBorder="1"/>
    <xf numFmtId="9" fontId="3" fillId="0" borderId="17" xfId="0" applyNumberFormat="1" applyFont="1" applyFill="1" applyBorder="1"/>
    <xf numFmtId="9" fontId="3" fillId="0" borderId="18" xfId="0" applyNumberFormat="1" applyFont="1" applyFill="1" applyBorder="1"/>
    <xf numFmtId="9" fontId="3" fillId="0" borderId="19" xfId="0" applyNumberFormat="1" applyFont="1" applyFill="1" applyBorder="1"/>
    <xf numFmtId="9" fontId="3" fillId="0" borderId="17" xfId="1" applyFont="1" applyFill="1" applyBorder="1"/>
    <xf numFmtId="9" fontId="3" fillId="0" borderId="19" xfId="1" applyFont="1" applyFill="1" applyBorder="1"/>
    <xf numFmtId="164" fontId="3" fillId="0" borderId="14" xfId="1" applyNumberFormat="1" applyFont="1" applyFill="1" applyBorder="1"/>
    <xf numFmtId="0" fontId="3" fillId="0" borderId="0" xfId="0" quotePrefix="1" applyFont="1" applyFill="1"/>
    <xf numFmtId="43" fontId="3" fillId="2" borderId="0" xfId="0" applyNumberFormat="1" applyFont="1" applyFill="1"/>
    <xf numFmtId="41" fontId="3" fillId="0" borderId="0" xfId="0" applyNumberFormat="1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6" fontId="3" fillId="0" borderId="15" xfId="2" applyNumberFormat="1" applyFont="1" applyFill="1" applyBorder="1" applyProtection="1">
      <protection locked="0"/>
    </xf>
    <xf numFmtId="166" fontId="3" fillId="0" borderId="20" xfId="2" applyNumberFormat="1" applyFont="1" applyFill="1" applyBorder="1" applyProtection="1">
      <protection locked="0"/>
    </xf>
    <xf numFmtId="166" fontId="3" fillId="0" borderId="16" xfId="2" applyNumberFormat="1" applyFont="1" applyFill="1" applyBorder="1" applyProtection="1">
      <protection locked="0"/>
    </xf>
    <xf numFmtId="165" fontId="3" fillId="0" borderId="0" xfId="2" applyNumberFormat="1" applyFont="1" applyFill="1" applyProtection="1">
      <protection locked="0"/>
    </xf>
    <xf numFmtId="165" fontId="3" fillId="0" borderId="0" xfId="0" applyNumberFormat="1" applyFont="1" applyFill="1" applyProtection="1">
      <protection locked="0"/>
    </xf>
    <xf numFmtId="10" fontId="3" fillId="0" borderId="0" xfId="1" applyNumberFormat="1" applyFont="1" applyFill="1" applyProtection="1">
      <protection locked="0"/>
    </xf>
  </cellXfs>
  <cellStyles count="4">
    <cellStyle name="Гиперссылка" xfId="3" builtinId="8"/>
    <cellStyle name="Обычный" xfId="0" builtinId="0"/>
    <cellStyle name="Процентный" xfId="1" builtinId="5"/>
    <cellStyle name="Финансовый" xfId="2" builtinId="3"/>
  </cellStyles>
  <dxfs count="2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График погашения долговых обязательств по проекту,</a:t>
            </a:r>
            <a:r>
              <a:rPr lang="ru-RU" sz="1100" baseline="0"/>
              <a:t> тыс. руб.</a:t>
            </a:r>
            <a:endParaRPr lang="ru-RU" sz="1100"/>
          </a:p>
        </c:rich>
      </c:tx>
      <c:layout/>
    </c:title>
    <c:plotArea>
      <c:layout/>
      <c:areaChart>
        <c:grouping val="stacked"/>
        <c:ser>
          <c:idx val="3"/>
          <c:order val="2"/>
          <c:tx>
            <c:strRef>
              <c:f>'для графика'!$G$31</c:f>
              <c:strCache>
                <c:ptCount val="1"/>
                <c:pt idx="0">
                  <c:v>CFADS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графика'!$H$31:$AF$31</c:f>
              <c:numCache>
                <c:formatCode>_-* #,##0_р_._-;\-* #,##0_р_._-;_-* "-"_р_._-;_-@_-</c:formatCode>
                <c:ptCount val="25"/>
                <c:pt idx="0">
                  <c:v>176266.66666666674</c:v>
                </c:pt>
                <c:pt idx="1">
                  <c:v>348205.50000000006</c:v>
                </c:pt>
                <c:pt idx="2">
                  <c:v>250146.00000000009</c:v>
                </c:pt>
                <c:pt idx="3">
                  <c:v>252085.91333333339</c:v>
                </c:pt>
                <c:pt idx="4">
                  <c:v>225392.00786666677</c:v>
                </c:pt>
                <c:pt idx="5">
                  <c:v>232138.99198800008</c:v>
                </c:pt>
                <c:pt idx="6">
                  <c:v>239864.24800038675</c:v>
                </c:pt>
                <c:pt idx="7">
                  <c:v>248641.52628225484</c:v>
                </c:pt>
                <c:pt idx="8">
                  <c:v>257788.89357620332</c:v>
                </c:pt>
                <c:pt idx="9">
                  <c:v>267321.51543583703</c:v>
                </c:pt>
                <c:pt idx="10">
                  <c:v>277255.1595279334</c:v>
                </c:pt>
                <c:pt idx="11">
                  <c:v>287606.21982166247</c:v>
                </c:pt>
                <c:pt idx="12">
                  <c:v>298391.76169771317</c:v>
                </c:pt>
                <c:pt idx="13">
                  <c:v>309629.48801135569</c:v>
                </c:pt>
                <c:pt idx="14">
                  <c:v>321337.84614467266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162746752"/>
        <c:axId val="162748288"/>
      </c:areaChart>
      <c:barChart>
        <c:barDir val="col"/>
        <c:grouping val="stacked"/>
        <c:ser>
          <c:idx val="0"/>
          <c:order val="0"/>
          <c:tx>
            <c:strRef>
              <c:f>'для графика'!$G$28</c:f>
              <c:strCache>
                <c:ptCount val="1"/>
                <c:pt idx="0">
                  <c:v>Основной долг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графика'!$H$28:$AF$28</c:f>
              <c:numCache>
                <c:formatCode>_-* #,##0_р_._-;\-* #,##0_р_._-;_-* "-"_р_._-;_-@_-</c:formatCode>
                <c:ptCount val="25"/>
                <c:pt idx="0">
                  <c:v>0</c:v>
                </c:pt>
                <c:pt idx="1">
                  <c:v>37000</c:v>
                </c:pt>
                <c:pt idx="2">
                  <c:v>79500</c:v>
                </c:pt>
                <c:pt idx="3">
                  <c:v>79500</c:v>
                </c:pt>
                <c:pt idx="4">
                  <c:v>135715.7624450826</c:v>
                </c:pt>
                <c:pt idx="5">
                  <c:v>158337.55690367339</c:v>
                </c:pt>
                <c:pt idx="6">
                  <c:v>95967.762163499094</c:v>
                </c:pt>
                <c:pt idx="7">
                  <c:v>98846.795028404071</c:v>
                </c:pt>
                <c:pt idx="8">
                  <c:v>101812.1988792562</c:v>
                </c:pt>
                <c:pt idx="9">
                  <c:v>104866.56484563387</c:v>
                </c:pt>
                <c:pt idx="10">
                  <c:v>108012.5617910029</c:v>
                </c:pt>
                <c:pt idx="11">
                  <c:v>111252.93864473297</c:v>
                </c:pt>
                <c:pt idx="12">
                  <c:v>114590.52680407497</c:v>
                </c:pt>
                <c:pt idx="13">
                  <c:v>118028.24260819722</c:v>
                </c:pt>
                <c:pt idx="14">
                  <c:v>121569.08988644314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'для графика'!$G$29</c:f>
              <c:strCache>
                <c:ptCount val="1"/>
                <c:pt idx="0">
                  <c:v>Проценты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графика'!$H$29:$AF$29</c:f>
              <c:numCache>
                <c:formatCode>_-* #,##0_р_._-;\-* #,##0_р_._-;_-* "-"_р_._-;_-@_-</c:formatCode>
                <c:ptCount val="25"/>
                <c:pt idx="0">
                  <c:v>28000</c:v>
                </c:pt>
                <c:pt idx="1">
                  <c:v>51027.5</c:v>
                </c:pt>
                <c:pt idx="2">
                  <c:v>55870</c:v>
                </c:pt>
                <c:pt idx="3">
                  <c:v>51787.5</c:v>
                </c:pt>
                <c:pt idx="4">
                  <c:v>43549.3</c:v>
                </c:pt>
                <c:pt idx="5">
                  <c:v>34128.5</c:v>
                </c:pt>
                <c:pt idx="6">
                  <c:v>27808.9</c:v>
                </c:pt>
                <c:pt idx="7">
                  <c:v>24886.7</c:v>
                </c:pt>
                <c:pt idx="8">
                  <c:v>21876.799999999999</c:v>
                </c:pt>
                <c:pt idx="9">
                  <c:v>18776.599999999999</c:v>
                </c:pt>
                <c:pt idx="10">
                  <c:v>15583.4</c:v>
                </c:pt>
                <c:pt idx="11">
                  <c:v>12294.4</c:v>
                </c:pt>
                <c:pt idx="12">
                  <c:v>8906.7999999999993</c:v>
                </c:pt>
                <c:pt idx="13">
                  <c:v>5417.5</c:v>
                </c:pt>
                <c:pt idx="14">
                  <c:v>1823.5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15"/>
        <c:overlap val="100"/>
        <c:axId val="162746752"/>
        <c:axId val="162748288"/>
      </c:barChart>
      <c:lineChart>
        <c:grouping val="standard"/>
        <c:ser>
          <c:idx val="2"/>
          <c:order val="3"/>
          <c:tx>
            <c:strRef>
              <c:f>'для графика'!$G$32</c:f>
              <c:strCache>
                <c:ptCount val="1"/>
                <c:pt idx="0">
                  <c:v>DSCR (правая шкала)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графика'!$H$32:$AF$32</c:f>
              <c:numCache>
                <c:formatCode>_-* #,##0.00_р_._-;\-* #,##0.00_р_._-;_-* "-"??_р_._-;_-@_-</c:formatCode>
                <c:ptCount val="25"/>
                <c:pt idx="0">
                  <c:v>6.2952380952380977</c:v>
                </c:pt>
                <c:pt idx="1">
                  <c:v>3.9556445428985265</c:v>
                </c:pt>
                <c:pt idx="2">
                  <c:v>1.8478688040186162</c:v>
                </c:pt>
                <c:pt idx="3">
                  <c:v>1.9201059760703296</c:v>
                </c:pt>
                <c:pt idx="4">
                  <c:v>1.2573114068767028</c:v>
                </c:pt>
                <c:pt idx="5">
                  <c:v>1.2061295156276957</c:v>
                </c:pt>
                <c:pt idx="6">
                  <c:v>1.9378794338753875</c:v>
                </c:pt>
                <c:pt idx="7">
                  <c:v>2.0094924678655288</c:v>
                </c:pt>
                <c:pt idx="8">
                  <c:v>2.0841699416441548</c:v>
                </c:pt>
                <c:pt idx="9">
                  <c:v>2.1620403826574872</c:v>
                </c:pt>
                <c:pt idx="10">
                  <c:v>2.2432380112609476</c:v>
                </c:pt>
                <c:pt idx="11">
                  <c:v>2.3279029963461184</c:v>
                </c:pt>
                <c:pt idx="12">
                  <c:v>2.416179924048909</c:v>
                </c:pt>
                <c:pt idx="13">
                  <c:v>2.5082233009370323</c:v>
                </c:pt>
                <c:pt idx="14">
                  <c:v>2.6041907900660517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'для графика'!$G$33</c:f>
              <c:strCache>
                <c:ptCount val="1"/>
                <c:pt idx="0">
                  <c:v>DSCR - ковенант</c:v>
                </c:pt>
              </c:strCache>
            </c:strRef>
          </c:tx>
          <c:spPr>
            <a:ln w="38100">
              <a:solidFill>
                <a:schemeClr val="tx2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графика'!$H$33:$AF$33</c:f>
              <c:numCache>
                <c:formatCode>_-* #,##0.00_р_._-;\-* #,##0.00_р_._-;_-* "-"??_р_._-;_-@_-</c:formatCode>
                <c:ptCount val="25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1.05</c:v>
                </c:pt>
                <c:pt idx="12">
                  <c:v>1.05</c:v>
                </c:pt>
                <c:pt idx="13">
                  <c:v>1.05</c:v>
                </c:pt>
                <c:pt idx="14">
                  <c:v>1.05</c:v>
                </c:pt>
                <c:pt idx="15">
                  <c:v>1.05</c:v>
                </c:pt>
                <c:pt idx="16">
                  <c:v>1.05</c:v>
                </c:pt>
                <c:pt idx="17">
                  <c:v>1.05</c:v>
                </c:pt>
                <c:pt idx="18">
                  <c:v>1.05</c:v>
                </c:pt>
                <c:pt idx="19">
                  <c:v>1.05</c:v>
                </c:pt>
                <c:pt idx="20">
                  <c:v>1.05</c:v>
                </c:pt>
                <c:pt idx="21">
                  <c:v>1.05</c:v>
                </c:pt>
                <c:pt idx="22">
                  <c:v>1.05</c:v>
                </c:pt>
                <c:pt idx="23">
                  <c:v>1.05</c:v>
                </c:pt>
                <c:pt idx="24">
                  <c:v>1.05</c:v>
                </c:pt>
              </c:numCache>
            </c:numRef>
          </c:val>
        </c:ser>
        <c:marker val="1"/>
        <c:axId val="162759808"/>
        <c:axId val="162749824"/>
      </c:lineChart>
      <c:catAx>
        <c:axId val="162746752"/>
        <c:scaling>
          <c:orientation val="minMax"/>
        </c:scaling>
        <c:axPos val="b"/>
        <c:numFmt formatCode="General" sourceLinked="1"/>
        <c:tickLblPos val="low"/>
        <c:crossAx val="162748288"/>
        <c:crossesAt val="0"/>
        <c:auto val="1"/>
        <c:lblAlgn val="ctr"/>
        <c:lblOffset val="100"/>
      </c:catAx>
      <c:valAx>
        <c:axId val="162748288"/>
        <c:scaling>
          <c:orientation val="minMax"/>
          <c:min val="0"/>
        </c:scaling>
        <c:axPos val="l"/>
        <c:majorGridlines/>
        <c:numFmt formatCode="_-* #,##0_р_._-;\-* #,##0_р_._-;_-* &quot;-&quot;_р_._-;_-@_-" sourceLinked="1"/>
        <c:tickLblPos val="nextTo"/>
        <c:crossAx val="162746752"/>
        <c:crosses val="autoZero"/>
        <c:crossBetween val="between"/>
      </c:valAx>
      <c:valAx>
        <c:axId val="162749824"/>
        <c:scaling>
          <c:orientation val="minMax"/>
          <c:max val="3"/>
          <c:min val="0"/>
        </c:scaling>
        <c:axPos val="r"/>
        <c:numFmt formatCode="_-* #,##0_р_._-;\-* #,##0_р_._-;_-* &quot;-&quot;_р_._-;_-@_-" sourceLinked="0"/>
        <c:tickLblPos val="nextTo"/>
        <c:crossAx val="162759808"/>
        <c:crosses val="max"/>
        <c:crossBetween val="between"/>
        <c:majorUnit val="1"/>
      </c:valAx>
      <c:catAx>
        <c:axId val="162759808"/>
        <c:scaling>
          <c:orientation val="minMax"/>
        </c:scaling>
        <c:delete val="1"/>
        <c:axPos val="b"/>
        <c:numFmt formatCode="General" sourceLinked="1"/>
        <c:tickLblPos val="none"/>
        <c:crossAx val="162749824"/>
        <c:crosses val="autoZero"/>
        <c:auto val="1"/>
        <c:lblAlgn val="ctr"/>
        <c:lblOffset val="100"/>
      </c:catAx>
    </c:plotArea>
    <c:legend>
      <c:legendPos val="b"/>
      <c:layout/>
      <c:txPr>
        <a:bodyPr/>
        <a:lstStyle/>
        <a:p>
          <a:pPr>
            <a:defRPr sz="950"/>
          </a:pPr>
          <a:endParaRPr lang="ru-RU"/>
        </a:p>
      </c:txPr>
    </c:legend>
    <c:plotVisOnly val="1"/>
    <c:dispBlanksAs val="zero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cked"/>
        <c:ser>
          <c:idx val="3"/>
          <c:order val="2"/>
          <c:tx>
            <c:strRef>
              <c:f>'для графика'!$G$31</c:f>
              <c:strCache>
                <c:ptCount val="1"/>
                <c:pt idx="0">
                  <c:v>CFADS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графика'!$H$31:$AF$31</c:f>
              <c:numCache>
                <c:formatCode>_-* #,##0_р_._-;\-* #,##0_р_._-;_-* "-"_р_._-;_-@_-</c:formatCode>
                <c:ptCount val="25"/>
                <c:pt idx="0">
                  <c:v>176266.66666666674</c:v>
                </c:pt>
                <c:pt idx="1">
                  <c:v>348205.50000000006</c:v>
                </c:pt>
                <c:pt idx="2">
                  <c:v>250146.00000000009</c:v>
                </c:pt>
                <c:pt idx="3">
                  <c:v>252085.91333333339</c:v>
                </c:pt>
                <c:pt idx="4">
                  <c:v>225392.00786666677</c:v>
                </c:pt>
                <c:pt idx="5">
                  <c:v>232138.99198800008</c:v>
                </c:pt>
                <c:pt idx="6">
                  <c:v>239864.24800038675</c:v>
                </c:pt>
                <c:pt idx="7">
                  <c:v>248641.52628225484</c:v>
                </c:pt>
                <c:pt idx="8">
                  <c:v>257788.89357620332</c:v>
                </c:pt>
                <c:pt idx="9">
                  <c:v>267321.51543583703</c:v>
                </c:pt>
                <c:pt idx="10">
                  <c:v>277255.1595279334</c:v>
                </c:pt>
                <c:pt idx="11">
                  <c:v>287606.21982166247</c:v>
                </c:pt>
                <c:pt idx="12">
                  <c:v>298391.76169771317</c:v>
                </c:pt>
                <c:pt idx="13">
                  <c:v>309629.48801135569</c:v>
                </c:pt>
                <c:pt idx="14">
                  <c:v>321337.84614467266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162899456"/>
        <c:axId val="162900992"/>
      </c:areaChart>
      <c:barChart>
        <c:barDir val="col"/>
        <c:grouping val="stacked"/>
        <c:ser>
          <c:idx val="0"/>
          <c:order val="0"/>
          <c:tx>
            <c:strRef>
              <c:f>'для графика'!$G$28</c:f>
              <c:strCache>
                <c:ptCount val="1"/>
                <c:pt idx="0">
                  <c:v>Основной долг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графика'!$H$28:$AF$28</c:f>
              <c:numCache>
                <c:formatCode>_-* #,##0_р_._-;\-* #,##0_р_._-;_-* "-"_р_._-;_-@_-</c:formatCode>
                <c:ptCount val="25"/>
                <c:pt idx="0">
                  <c:v>0</c:v>
                </c:pt>
                <c:pt idx="1">
                  <c:v>37000</c:v>
                </c:pt>
                <c:pt idx="2">
                  <c:v>79500</c:v>
                </c:pt>
                <c:pt idx="3">
                  <c:v>79500</c:v>
                </c:pt>
                <c:pt idx="4">
                  <c:v>135715.7624450826</c:v>
                </c:pt>
                <c:pt idx="5">
                  <c:v>158337.55690367339</c:v>
                </c:pt>
                <c:pt idx="6">
                  <c:v>95967.762163499094</c:v>
                </c:pt>
                <c:pt idx="7">
                  <c:v>98846.795028404071</c:v>
                </c:pt>
                <c:pt idx="8">
                  <c:v>101812.1988792562</c:v>
                </c:pt>
                <c:pt idx="9">
                  <c:v>104866.56484563387</c:v>
                </c:pt>
                <c:pt idx="10">
                  <c:v>108012.5617910029</c:v>
                </c:pt>
                <c:pt idx="11">
                  <c:v>111252.93864473297</c:v>
                </c:pt>
                <c:pt idx="12">
                  <c:v>114590.52680407497</c:v>
                </c:pt>
                <c:pt idx="13">
                  <c:v>118028.24260819722</c:v>
                </c:pt>
                <c:pt idx="14">
                  <c:v>121569.08988644314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'для графика'!$G$29</c:f>
              <c:strCache>
                <c:ptCount val="1"/>
                <c:pt idx="0">
                  <c:v>Проценты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графика'!$H$29:$AF$29</c:f>
              <c:numCache>
                <c:formatCode>_-* #,##0_р_._-;\-* #,##0_р_._-;_-* "-"_р_._-;_-@_-</c:formatCode>
                <c:ptCount val="25"/>
                <c:pt idx="0">
                  <c:v>28000</c:v>
                </c:pt>
                <c:pt idx="1">
                  <c:v>51027.5</c:v>
                </c:pt>
                <c:pt idx="2">
                  <c:v>55870</c:v>
                </c:pt>
                <c:pt idx="3">
                  <c:v>51787.5</c:v>
                </c:pt>
                <c:pt idx="4">
                  <c:v>43549.3</c:v>
                </c:pt>
                <c:pt idx="5">
                  <c:v>34128.5</c:v>
                </c:pt>
                <c:pt idx="6">
                  <c:v>27808.9</c:v>
                </c:pt>
                <c:pt idx="7">
                  <c:v>24886.7</c:v>
                </c:pt>
                <c:pt idx="8">
                  <c:v>21876.799999999999</c:v>
                </c:pt>
                <c:pt idx="9">
                  <c:v>18776.599999999999</c:v>
                </c:pt>
                <c:pt idx="10">
                  <c:v>15583.4</c:v>
                </c:pt>
                <c:pt idx="11">
                  <c:v>12294.4</c:v>
                </c:pt>
                <c:pt idx="12">
                  <c:v>8906.7999999999993</c:v>
                </c:pt>
                <c:pt idx="13">
                  <c:v>5417.5</c:v>
                </c:pt>
                <c:pt idx="14">
                  <c:v>1823.5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15"/>
        <c:overlap val="100"/>
        <c:axId val="162899456"/>
        <c:axId val="162900992"/>
      </c:barChart>
      <c:lineChart>
        <c:grouping val="standard"/>
        <c:ser>
          <c:idx val="2"/>
          <c:order val="3"/>
          <c:tx>
            <c:strRef>
              <c:f>'для графика'!$G$32</c:f>
              <c:strCache>
                <c:ptCount val="1"/>
                <c:pt idx="0">
                  <c:v>DSCR (правая шкала)</c:v>
                </c:pt>
              </c:strCache>
            </c:strRef>
          </c:tx>
          <c:spPr>
            <a:ln w="28575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4"/>
              <c:layout/>
              <c:dLblPos val="l"/>
              <c:showVal val="1"/>
            </c:dLbl>
            <c:delete val="1"/>
          </c:dLbls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графика'!$H$32:$AF$32</c:f>
              <c:numCache>
                <c:formatCode>_-* #,##0.00_р_._-;\-* #,##0.00_р_._-;_-* "-"??_р_._-;_-@_-</c:formatCode>
                <c:ptCount val="25"/>
                <c:pt idx="0">
                  <c:v>6.2952380952380977</c:v>
                </c:pt>
                <c:pt idx="1">
                  <c:v>3.9556445428985265</c:v>
                </c:pt>
                <c:pt idx="2">
                  <c:v>1.8478688040186162</c:v>
                </c:pt>
                <c:pt idx="3">
                  <c:v>1.9201059760703296</c:v>
                </c:pt>
                <c:pt idx="4">
                  <c:v>1.2573114068767028</c:v>
                </c:pt>
                <c:pt idx="5">
                  <c:v>1.2061295156276957</c:v>
                </c:pt>
                <c:pt idx="6">
                  <c:v>1.9378794338753875</c:v>
                </c:pt>
                <c:pt idx="7">
                  <c:v>2.0094924678655288</c:v>
                </c:pt>
                <c:pt idx="8">
                  <c:v>2.0841699416441548</c:v>
                </c:pt>
                <c:pt idx="9">
                  <c:v>2.1620403826574872</c:v>
                </c:pt>
                <c:pt idx="10">
                  <c:v>2.2432380112609476</c:v>
                </c:pt>
                <c:pt idx="11">
                  <c:v>2.3279029963461184</c:v>
                </c:pt>
                <c:pt idx="12">
                  <c:v>2.416179924048909</c:v>
                </c:pt>
                <c:pt idx="13">
                  <c:v>2.5082233009370323</c:v>
                </c:pt>
                <c:pt idx="14">
                  <c:v>2.6041907900660517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'для графика'!$G$33</c:f>
              <c:strCache>
                <c:ptCount val="1"/>
                <c:pt idx="0">
                  <c:v>DSCR - ковенант</c:v>
                </c:pt>
              </c:strCache>
            </c:strRef>
          </c:tx>
          <c:spPr>
            <a:ln w="38100">
              <a:solidFill>
                <a:schemeClr val="tx2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'для графика'!$H$27:$AF$27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графика'!$H$33:$AF$33</c:f>
              <c:numCache>
                <c:formatCode>_-* #,##0.00_р_._-;\-* #,##0.00_р_._-;_-* "-"??_р_._-;_-@_-</c:formatCode>
                <c:ptCount val="25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1.05</c:v>
                </c:pt>
                <c:pt idx="12">
                  <c:v>1.05</c:v>
                </c:pt>
                <c:pt idx="13">
                  <c:v>1.05</c:v>
                </c:pt>
                <c:pt idx="14">
                  <c:v>1.05</c:v>
                </c:pt>
                <c:pt idx="15">
                  <c:v>1.05</c:v>
                </c:pt>
                <c:pt idx="16">
                  <c:v>1.05</c:v>
                </c:pt>
                <c:pt idx="17">
                  <c:v>1.05</c:v>
                </c:pt>
                <c:pt idx="18">
                  <c:v>1.05</c:v>
                </c:pt>
                <c:pt idx="19">
                  <c:v>1.05</c:v>
                </c:pt>
                <c:pt idx="20">
                  <c:v>1.05</c:v>
                </c:pt>
                <c:pt idx="21">
                  <c:v>1.05</c:v>
                </c:pt>
                <c:pt idx="22">
                  <c:v>1.05</c:v>
                </c:pt>
                <c:pt idx="23">
                  <c:v>1.05</c:v>
                </c:pt>
                <c:pt idx="24">
                  <c:v>1.05</c:v>
                </c:pt>
              </c:numCache>
            </c:numRef>
          </c:val>
        </c:ser>
        <c:marker val="1"/>
        <c:axId val="162904320"/>
        <c:axId val="162902784"/>
      </c:lineChart>
      <c:catAx>
        <c:axId val="162899456"/>
        <c:scaling>
          <c:orientation val="minMax"/>
        </c:scaling>
        <c:axPos val="b"/>
        <c:numFmt formatCode="General" sourceLinked="1"/>
        <c:tickLblPos val="low"/>
        <c:crossAx val="162900992"/>
        <c:crossesAt val="0"/>
        <c:auto val="1"/>
        <c:lblAlgn val="ctr"/>
        <c:lblOffset val="100"/>
      </c:catAx>
      <c:valAx>
        <c:axId val="162900992"/>
        <c:scaling>
          <c:orientation val="minMax"/>
          <c:max val="125000"/>
          <c:min val="0"/>
        </c:scaling>
        <c:axPos val="l"/>
        <c:majorGridlines/>
        <c:numFmt formatCode="_-* #,##0_р_._-;\-* #,##0_р_._-;_-* &quot;-&quot;_р_._-;_-@_-" sourceLinked="1"/>
        <c:tickLblPos val="nextTo"/>
        <c:crossAx val="162899456"/>
        <c:crosses val="autoZero"/>
        <c:crossBetween val="between"/>
      </c:valAx>
      <c:valAx>
        <c:axId val="162902784"/>
        <c:scaling>
          <c:orientation val="minMax"/>
          <c:max val="10"/>
          <c:min val="0"/>
        </c:scaling>
        <c:axPos val="r"/>
        <c:numFmt formatCode="_-* #,##0_р_._-;\-* #,##0_р_._-;_-* &quot;-&quot;_р_._-;_-@_-" sourceLinked="0"/>
        <c:tickLblPos val="nextTo"/>
        <c:crossAx val="162904320"/>
        <c:crosses val="max"/>
        <c:crossBetween val="between"/>
        <c:majorUnit val="5"/>
      </c:valAx>
      <c:catAx>
        <c:axId val="162904320"/>
        <c:scaling>
          <c:orientation val="minMax"/>
        </c:scaling>
        <c:delete val="1"/>
        <c:axPos val="b"/>
        <c:numFmt formatCode="General" sourceLinked="1"/>
        <c:tickLblPos val="none"/>
        <c:crossAx val="16290278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ndard"/>
        <c:ser>
          <c:idx val="3"/>
          <c:order val="7"/>
          <c:tx>
            <c:strRef>
              <c:f>CF!$B$35</c:f>
              <c:strCache>
                <c:ptCount val="1"/>
                <c:pt idx="0">
                  <c:v>CFADS</c:v>
                </c:pt>
              </c:strCache>
            </c:strRef>
          </c:tx>
          <c:spPr>
            <a:solidFill>
              <a:sysClr val="window" lastClr="FFFFFF">
                <a:lumMod val="50000"/>
                <a:alpha val="50000"/>
              </a:sysClr>
            </a:solidFill>
          </c:spPr>
          <c:val>
            <c:numRef>
              <c:f>CF!$L$35:$AJ$35</c:f>
              <c:numCache>
                <c:formatCode>_-* #,##0_р_._-;\-* #,##0_р_._-;_-* "-"_р_._-;_-@_-</c:formatCode>
                <c:ptCount val="25"/>
                <c:pt idx="0">
                  <c:v>176266.66666666674</c:v>
                </c:pt>
                <c:pt idx="1">
                  <c:v>348205.50000000006</c:v>
                </c:pt>
                <c:pt idx="2">
                  <c:v>250146.00000000009</c:v>
                </c:pt>
                <c:pt idx="3">
                  <c:v>252085.91333333339</c:v>
                </c:pt>
                <c:pt idx="4">
                  <c:v>225392.00786666677</c:v>
                </c:pt>
                <c:pt idx="5">
                  <c:v>232138.99198800008</c:v>
                </c:pt>
                <c:pt idx="6">
                  <c:v>239864.24800038675</c:v>
                </c:pt>
                <c:pt idx="7">
                  <c:v>248641.52628225484</c:v>
                </c:pt>
                <c:pt idx="8">
                  <c:v>257788.89357620332</c:v>
                </c:pt>
                <c:pt idx="9">
                  <c:v>267321.51543583703</c:v>
                </c:pt>
                <c:pt idx="10">
                  <c:v>277255.1595279334</c:v>
                </c:pt>
                <c:pt idx="11">
                  <c:v>287606.21982166247</c:v>
                </c:pt>
                <c:pt idx="12">
                  <c:v>298391.76169771317</c:v>
                </c:pt>
                <c:pt idx="13">
                  <c:v>309629.48801135569</c:v>
                </c:pt>
                <c:pt idx="14">
                  <c:v>321337.84614467266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163019776"/>
        <c:axId val="163029760"/>
      </c:areaChart>
      <c:barChart>
        <c:barDir val="col"/>
        <c:grouping val="stacked"/>
        <c:ser>
          <c:idx val="1"/>
          <c:order val="0"/>
          <c:tx>
            <c:strRef>
              <c:f>'для графика'!$E$17:$G$17</c:f>
              <c:strCache>
                <c:ptCount val="1"/>
                <c:pt idx="0">
                  <c:v>Займ Фонда ЖКХ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cat>
            <c:numRef>
              <c:f>'для графика'!$H$15:$AF$15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графика'!$H$17:$AF$17</c:f>
              <c:numCache>
                <c:formatCode>_-* #,##0_р_._-;\-* #,##0_р_._-;_-* "-"_р_._-;_-@_-</c:formatCode>
                <c:ptCount val="25"/>
                <c:pt idx="0">
                  <c:v>720000</c:v>
                </c:pt>
                <c:pt idx="1">
                  <c:v>240000</c:v>
                </c:pt>
                <c:pt idx="2">
                  <c:v>150000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0"/>
          <c:order val="1"/>
          <c:tx>
            <c:strRef>
              <c:f>'для графика'!$E$16:$G$16</c:f>
              <c:strCache>
                <c:ptCount val="1"/>
                <c:pt idx="0">
                  <c:v>Акционерный займ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'для графика'!$H$15:$AF$15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графика'!$H$16:$AF$16</c:f>
              <c:numCache>
                <c:formatCode>_-* #,##0_р_._-;\-* #,##0_р_._-;_-* "-"_р_._-;_-@_-</c:formatCode>
                <c:ptCount val="25"/>
                <c:pt idx="0">
                  <c:v>140000</c:v>
                </c:pt>
                <c:pt idx="1">
                  <c:v>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'для графика'!$E$18:$G$18</c:f>
              <c:strCache>
                <c:ptCount val="1"/>
                <c:pt idx="0">
                  <c:v>Прочие кредиторы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numRef>
              <c:f>'для графика'!$H$15:$AF$15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графика'!$H$18:$AF$18</c:f>
              <c:numCache>
                <c:formatCode>_-* #,##0_р_._-;\-* #,##0_р_._-;_-* "-"_р_._-;_-@_-</c:formatCode>
                <c:ptCount val="25"/>
                <c:pt idx="0">
                  <c:v>120000</c:v>
                </c:pt>
                <c:pt idx="1">
                  <c:v>40000</c:v>
                </c:pt>
                <c:pt idx="2">
                  <c:v>25000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3"/>
          <c:spPr>
            <a:solidFill>
              <a:schemeClr val="accent1">
                <a:lumMod val="50000"/>
              </a:schemeClr>
            </a:solidFill>
          </c:spPr>
          <c:cat>
            <c:numRef>
              <c:f>'для графика'!$H$15:$AF$15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графика'!$H$21:$AF$21</c:f>
              <c:numCache>
                <c:formatCode>_-* #,##0_р_._-;\-* #,##0_р_._-;_-* "-"_р_._-;_-@_-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-56215.762445082597</c:v>
                </c:pt>
                <c:pt idx="5">
                  <c:v>-78837.556903673394</c:v>
                </c:pt>
                <c:pt idx="6">
                  <c:v>-95967.762163499094</c:v>
                </c:pt>
                <c:pt idx="7">
                  <c:v>-98846.795028404071</c:v>
                </c:pt>
                <c:pt idx="8">
                  <c:v>-101812.1988792562</c:v>
                </c:pt>
                <c:pt idx="9">
                  <c:v>-104866.56484563387</c:v>
                </c:pt>
                <c:pt idx="10">
                  <c:v>-108012.5617910029</c:v>
                </c:pt>
                <c:pt idx="11">
                  <c:v>-111252.93864473297</c:v>
                </c:pt>
                <c:pt idx="12">
                  <c:v>-114590.52680407497</c:v>
                </c:pt>
                <c:pt idx="13">
                  <c:v>-118028.24260819722</c:v>
                </c:pt>
                <c:pt idx="14">
                  <c:v>-121569.08988644314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accent1">
                <a:lumMod val="20000"/>
                <a:lumOff val="80000"/>
              </a:schemeClr>
            </a:solidFill>
          </c:spPr>
          <c:cat>
            <c:numRef>
              <c:f>'для графика'!$H$15:$AF$15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графика'!$H$20:$AF$20</c:f>
              <c:numCache>
                <c:formatCode>_-* #,##0_р_._-;\-* #,##0_р_._-;_-* "-"_р_._-;_-@_-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-42500</c:v>
                </c:pt>
                <c:pt idx="3">
                  <c:v>-42500</c:v>
                </c:pt>
                <c:pt idx="4">
                  <c:v>-42500</c:v>
                </c:pt>
                <c:pt idx="5">
                  <c:v>-42500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5"/>
          <c:tx>
            <c:strRef>
              <c:f>'для графика'!$E$23:$G$23</c:f>
              <c:strCache>
                <c:ptCount val="1"/>
                <c:pt idx="0">
                  <c:v>Проценты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numRef>
              <c:f>'для графика'!$H$15:$AF$15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графика'!$H$23:$AF$23</c:f>
              <c:numCache>
                <c:formatCode>_-* #,##0_р_._-;\-* #,##0_р_._-;_-* "-"_р_._-;_-@_-</c:formatCode>
                <c:ptCount val="25"/>
                <c:pt idx="0">
                  <c:v>-28000</c:v>
                </c:pt>
                <c:pt idx="1">
                  <c:v>-51027.5</c:v>
                </c:pt>
                <c:pt idx="2">
                  <c:v>-55870</c:v>
                </c:pt>
                <c:pt idx="3">
                  <c:v>-51787.5</c:v>
                </c:pt>
                <c:pt idx="4">
                  <c:v>-43549.3</c:v>
                </c:pt>
                <c:pt idx="5">
                  <c:v>-34128.5</c:v>
                </c:pt>
                <c:pt idx="6">
                  <c:v>-27808.9</c:v>
                </c:pt>
                <c:pt idx="7">
                  <c:v>-24886.7</c:v>
                </c:pt>
                <c:pt idx="8">
                  <c:v>-21876.799999999999</c:v>
                </c:pt>
                <c:pt idx="9">
                  <c:v>-18776.599999999999</c:v>
                </c:pt>
                <c:pt idx="10">
                  <c:v>-15583.4</c:v>
                </c:pt>
                <c:pt idx="11">
                  <c:v>-12294.4</c:v>
                </c:pt>
                <c:pt idx="12">
                  <c:v>-8906.7999999999993</c:v>
                </c:pt>
                <c:pt idx="13">
                  <c:v>-5417.5</c:v>
                </c:pt>
                <c:pt idx="14">
                  <c:v>-1823.5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'для графика'!$H$15:$AF$15</c:f>
              <c:numCache>
                <c:formatCode>General</c:formatCode>
                <c:ptCount val="2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</c:numCache>
            </c:numRef>
          </c:cat>
          <c:val>
            <c:numRef>
              <c:f>'для графика'!$H$22:$AF$22</c:f>
              <c:numCache>
                <c:formatCode>_-* #,##0_р_._-;\-* #,##0_р_._-;_-* "-"_р_._-;_-@_-</c:formatCode>
                <c:ptCount val="25"/>
                <c:pt idx="0">
                  <c:v>0</c:v>
                </c:pt>
                <c:pt idx="1">
                  <c:v>-37000</c:v>
                </c:pt>
                <c:pt idx="2">
                  <c:v>-37000</c:v>
                </c:pt>
                <c:pt idx="3">
                  <c:v>-37000</c:v>
                </c:pt>
                <c:pt idx="4">
                  <c:v>-37000</c:v>
                </c:pt>
                <c:pt idx="5">
                  <c:v>-37000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15"/>
        <c:overlap val="100"/>
        <c:axId val="163019776"/>
        <c:axId val="163029760"/>
      </c:barChart>
      <c:lineChart>
        <c:grouping val="standard"/>
        <c:ser>
          <c:idx val="8"/>
          <c:order val="8"/>
          <c:tx>
            <c:v>DSCR, правая шкала</c:v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4"/>
              <c:layout/>
              <c:dLblPos val="t"/>
              <c:showVal val="1"/>
            </c:dLbl>
            <c:delete val="1"/>
          </c:dLbls>
          <c:val>
            <c:numRef>
              <c:f>CF!$L$37:$AJ$37</c:f>
              <c:numCache>
                <c:formatCode>_-* #,##0.00_р_._-;\-* #,##0.00_р_._-;_-* "-"??_р_._-;_-@_-</c:formatCode>
                <c:ptCount val="25"/>
                <c:pt idx="0">
                  <c:v>6.2952380952380977</c:v>
                </c:pt>
                <c:pt idx="1">
                  <c:v>3.9556445428985265</c:v>
                </c:pt>
                <c:pt idx="2">
                  <c:v>1.8478688040186162</c:v>
                </c:pt>
                <c:pt idx="3">
                  <c:v>1.9201059760703296</c:v>
                </c:pt>
                <c:pt idx="4">
                  <c:v>1.2573114068767028</c:v>
                </c:pt>
                <c:pt idx="5">
                  <c:v>1.2061295156276957</c:v>
                </c:pt>
                <c:pt idx="6">
                  <c:v>1.9378794338753875</c:v>
                </c:pt>
                <c:pt idx="7">
                  <c:v>2.0094924678655288</c:v>
                </c:pt>
                <c:pt idx="8">
                  <c:v>2.0841699416441548</c:v>
                </c:pt>
                <c:pt idx="9">
                  <c:v>2.1620403826574872</c:v>
                </c:pt>
                <c:pt idx="10">
                  <c:v>2.2432380112609476</c:v>
                </c:pt>
                <c:pt idx="11">
                  <c:v>2.3279029963461184</c:v>
                </c:pt>
                <c:pt idx="12">
                  <c:v>2.416179924048909</c:v>
                </c:pt>
                <c:pt idx="13">
                  <c:v>2.5082233009370323</c:v>
                </c:pt>
                <c:pt idx="14">
                  <c:v>2.6041907900660517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marker val="1"/>
        <c:axId val="163037184"/>
        <c:axId val="163031296"/>
      </c:lineChart>
      <c:dateAx>
        <c:axId val="163019776"/>
        <c:scaling>
          <c:orientation val="minMax"/>
        </c:scaling>
        <c:axPos val="b"/>
        <c:numFmt formatCode="General" sourceLinked="1"/>
        <c:tickLblPos val="low"/>
        <c:txPr>
          <a:bodyPr rot="-1500000"/>
          <a:lstStyle/>
          <a:p>
            <a:pPr>
              <a:defRPr sz="700"/>
            </a:pPr>
            <a:endParaRPr lang="ru-RU"/>
          </a:p>
        </c:txPr>
        <c:crossAx val="163029760"/>
        <c:crosses val="autoZero"/>
        <c:lblOffset val="100"/>
        <c:baseTimeUnit val="days"/>
      </c:dateAx>
      <c:valAx>
        <c:axId val="163029760"/>
        <c:scaling>
          <c:orientation val="minMax"/>
        </c:scaling>
        <c:axPos val="l"/>
        <c:majorGridlines/>
        <c:numFmt formatCode="_-* #,##0_р_._-;\-* #,##0_р_._-;_-* &quot;-&quot;_р_._-;_-@_-" sourceLinked="1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63019776"/>
        <c:crosses val="autoZero"/>
        <c:crossBetween val="between"/>
      </c:valAx>
      <c:valAx>
        <c:axId val="163031296"/>
        <c:scaling>
          <c:orientation val="minMax"/>
          <c:min val="-25"/>
        </c:scaling>
        <c:axPos val="r"/>
        <c:numFmt formatCode="_-* #,##0_р_._-;\-* #,##0_р_._-;_-* &quot;-&quot;_р_._-;_-@_-" sourceLinked="0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63037184"/>
        <c:crosses val="max"/>
        <c:crossBetween val="between"/>
        <c:majorUnit val="25"/>
      </c:valAx>
      <c:catAx>
        <c:axId val="163037184"/>
        <c:scaling>
          <c:orientation val="minMax"/>
        </c:scaling>
        <c:delete val="1"/>
        <c:axPos val="b"/>
        <c:tickLblPos val="none"/>
        <c:crossAx val="163031296"/>
        <c:crossesAt val="10"/>
        <c:auto val="1"/>
        <c:lblAlgn val="ctr"/>
        <c:lblOffset val="100"/>
      </c:catAx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/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591263</xdr:colOff>
      <xdr:row>4</xdr:row>
      <xdr:rowOff>121847</xdr:rowOff>
    </xdr:to>
    <xdr:pic>
      <xdr:nvPicPr>
        <xdr:cNvPr id="2" name="Рисунок 1" descr="Рисунок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1263" cy="883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</xdr:colOff>
      <xdr:row>20</xdr:row>
      <xdr:rowOff>34637</xdr:rowOff>
    </xdr:from>
    <xdr:to>
      <xdr:col>9</xdr:col>
      <xdr:colOff>1021773</xdr:colOff>
      <xdr:row>37</xdr:row>
      <xdr:rowOff>164523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466725</xdr:colOff>
      <xdr:row>0</xdr:row>
      <xdr:rowOff>0</xdr:rowOff>
    </xdr:from>
    <xdr:to>
      <xdr:col>10</xdr:col>
      <xdr:colOff>10238</xdr:colOff>
      <xdr:row>4</xdr:row>
      <xdr:rowOff>121847</xdr:rowOff>
    </xdr:to>
    <xdr:pic>
      <xdr:nvPicPr>
        <xdr:cNvPr id="4" name="Рисунок 3" descr="Рисунок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0"/>
          <a:ext cx="591263" cy="8838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140073</xdr:colOff>
      <xdr:row>36</xdr:row>
      <xdr:rowOff>119343</xdr:rowOff>
    </xdr:from>
    <xdr:to>
      <xdr:col>11</xdr:col>
      <xdr:colOff>577103</xdr:colOff>
      <xdr:row>62</xdr:row>
      <xdr:rowOff>186579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20</xdr:col>
      <xdr:colOff>640773</xdr:colOff>
      <xdr:row>56</xdr:row>
      <xdr:rowOff>41413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-0.249977111117893"/>
  </sheetPr>
  <dimension ref="C2:N44"/>
  <sheetViews>
    <sheetView view="pageBreakPreview" zoomScale="85" zoomScaleNormal="85" zoomScaleSheetLayoutView="85" workbookViewId="0">
      <selection activeCell="C20" sqref="C20"/>
    </sheetView>
  </sheetViews>
  <sheetFormatPr defaultRowHeight="15"/>
  <cols>
    <col min="3" max="3" width="10.140625" bestFit="1" customWidth="1"/>
  </cols>
  <sheetData>
    <row r="2" spans="10:14">
      <c r="J2" s="135" t="s">
        <v>153</v>
      </c>
    </row>
    <row r="3" spans="10:14">
      <c r="J3" s="135" t="s">
        <v>154</v>
      </c>
    </row>
    <row r="4" spans="10:14">
      <c r="J4" s="135" t="s">
        <v>150</v>
      </c>
    </row>
    <row r="9" spans="10:14">
      <c r="N9" s="163"/>
    </row>
    <row r="18" spans="3:8" ht="21">
      <c r="C18" s="137" t="s">
        <v>148</v>
      </c>
      <c r="D18" s="133"/>
      <c r="E18" s="133"/>
      <c r="F18" s="133"/>
      <c r="G18" s="133"/>
      <c r="H18" s="133"/>
    </row>
    <row r="19" spans="3:8" ht="15.75">
      <c r="C19" s="136" t="s">
        <v>149</v>
      </c>
      <c r="D19" s="133"/>
      <c r="E19" s="133"/>
      <c r="F19" s="133"/>
      <c r="G19" s="133"/>
      <c r="H19" s="133"/>
    </row>
    <row r="20" spans="3:8" ht="21">
      <c r="C20" s="166" t="s">
        <v>155</v>
      </c>
      <c r="D20" s="133"/>
      <c r="E20" s="133"/>
      <c r="F20" s="133"/>
      <c r="G20" s="133"/>
      <c r="H20" s="133"/>
    </row>
    <row r="21" spans="3:8">
      <c r="D21" s="133"/>
      <c r="E21" s="133"/>
      <c r="F21" s="133"/>
      <c r="G21" s="133"/>
      <c r="H21" s="133"/>
    </row>
    <row r="22" spans="3:8">
      <c r="C22" s="133"/>
      <c r="D22" s="133"/>
      <c r="E22" s="133"/>
      <c r="F22" s="133"/>
      <c r="G22" s="133"/>
      <c r="H22" s="133"/>
    </row>
    <row r="23" spans="3:8">
      <c r="C23" s="133"/>
      <c r="D23" s="133"/>
      <c r="E23" s="133"/>
      <c r="F23" s="133"/>
      <c r="G23" s="133"/>
      <c r="H23" s="133"/>
    </row>
    <row r="24" spans="3:8" ht="15.75">
      <c r="C24" s="141" t="s">
        <v>184</v>
      </c>
      <c r="D24" s="134"/>
      <c r="E24" s="134"/>
      <c r="F24" s="134"/>
      <c r="G24" s="134"/>
      <c r="H24" s="134"/>
    </row>
    <row r="25" spans="3:8" ht="15.75">
      <c r="C25" s="141" t="s">
        <v>157</v>
      </c>
      <c r="D25" s="141"/>
      <c r="E25" s="141"/>
      <c r="F25" s="141"/>
      <c r="G25" s="141"/>
      <c r="H25" s="141"/>
    </row>
    <row r="26" spans="3:8">
      <c r="C26" s="133"/>
      <c r="D26" s="133"/>
      <c r="E26" s="133"/>
      <c r="F26" s="133"/>
      <c r="G26" s="133"/>
      <c r="H26" s="133"/>
    </row>
    <row r="27" spans="3:8">
      <c r="C27" s="133"/>
      <c r="D27" s="133"/>
      <c r="E27" s="133"/>
      <c r="F27" s="133"/>
      <c r="G27" s="133"/>
      <c r="H27" s="133"/>
    </row>
    <row r="28" spans="3:8">
      <c r="C28" s="133"/>
      <c r="D28" s="133"/>
      <c r="E28" s="133"/>
      <c r="F28" s="133"/>
      <c r="G28" s="133"/>
      <c r="H28" s="133"/>
    </row>
    <row r="29" spans="3:8">
      <c r="C29" s="133"/>
      <c r="D29" s="133"/>
      <c r="E29" s="133"/>
      <c r="F29" s="133"/>
      <c r="G29" s="133"/>
      <c r="H29" s="133"/>
    </row>
    <row r="30" spans="3:8">
      <c r="C30" s="133"/>
      <c r="D30" s="133"/>
      <c r="E30" s="133"/>
      <c r="F30" s="133"/>
      <c r="G30" s="133"/>
      <c r="H30" s="133"/>
    </row>
    <row r="31" spans="3:8">
      <c r="C31" s="133"/>
      <c r="D31" s="133"/>
      <c r="E31" s="133"/>
      <c r="F31" s="133"/>
      <c r="G31" s="133"/>
      <c r="H31" s="133"/>
    </row>
    <row r="41" spans="3:8">
      <c r="C41" s="134" t="s">
        <v>156</v>
      </c>
      <c r="D41" s="134"/>
      <c r="E41" s="134"/>
      <c r="F41" s="134"/>
      <c r="G41" s="134"/>
      <c r="H41" s="134"/>
    </row>
    <row r="42" spans="3:8">
      <c r="C42" s="134">
        <f ca="1">TODAY()</f>
        <v>44607</v>
      </c>
      <c r="D42" s="133"/>
      <c r="E42" s="133"/>
      <c r="F42" s="133"/>
      <c r="G42" s="133"/>
      <c r="H42" s="133"/>
    </row>
    <row r="43" spans="3:8">
      <c r="C43" s="133" t="s">
        <v>151</v>
      </c>
      <c r="D43" s="133"/>
      <c r="E43" s="133"/>
      <c r="F43" s="133"/>
      <c r="G43" s="133"/>
      <c r="H43" s="133"/>
    </row>
    <row r="44" spans="3:8">
      <c r="C44" s="133" t="s">
        <v>152</v>
      </c>
      <c r="D44" s="133"/>
      <c r="E44" s="133"/>
      <c r="F44" s="133"/>
      <c r="G44" s="133"/>
      <c r="H44" s="133"/>
    </row>
  </sheetData>
  <customSheetViews>
    <customSheetView guid="{7D5A2C9F-3ABE-4F29-B54C-C3E3AA98CA69}" scale="60" showPageBreaks="1" printArea="1" view="pageBreakPreview">
      <selection activeCell="M17" sqref="M17"/>
      <pageMargins left="0.7" right="0.7" top="0.75" bottom="0.75" header="0.3" footer="0.3"/>
      <pageSetup paperSize="9" scale="94" orientation="portrait" horizontalDpi="0" verticalDpi="0" r:id="rId1"/>
    </customSheetView>
  </customSheetViews>
  <pageMargins left="0.7" right="0.7" top="0.75" bottom="0.75" header="0.3" footer="0.3"/>
  <pageSetup paperSize="9" scale="94"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theme="0" tint="-0.499984740745262"/>
    <pageSetUpPr fitToPage="1"/>
  </sheetPr>
  <dimension ref="A1:AP121"/>
  <sheetViews>
    <sheetView view="pageBreakPreview" zoomScale="85" zoomScaleNormal="85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ColWidth="0" defaultRowHeight="12.75"/>
  <cols>
    <col min="1" max="1" width="1.7109375" style="26" customWidth="1"/>
    <col min="2" max="3" width="2.7109375" style="17" customWidth="1"/>
    <col min="4" max="6" width="9.140625" style="17" customWidth="1"/>
    <col min="7" max="7" width="2.7109375" style="17" customWidth="1"/>
    <col min="8" max="8" width="10.7109375" style="18" customWidth="1"/>
    <col min="9" max="9" width="1.7109375" style="17" customWidth="1"/>
    <col min="10" max="10" width="14" style="17" bestFit="1" customWidth="1"/>
    <col min="11" max="11" width="1.7109375" style="17" customWidth="1"/>
    <col min="12" max="13" width="14.140625" style="17" bestFit="1" customWidth="1"/>
    <col min="14" max="20" width="13.28515625" style="17" bestFit="1" customWidth="1"/>
    <col min="21" max="34" width="11.85546875" style="17" bestFit="1" customWidth="1"/>
    <col min="35" max="35" width="11.7109375" style="17" bestFit="1" customWidth="1"/>
    <col min="36" max="36" width="11.85546875" style="17" bestFit="1" customWidth="1"/>
    <col min="37" max="37" width="11.85546875" style="26" bestFit="1" customWidth="1"/>
    <col min="38" max="41" width="11.85546875" style="17" bestFit="1" customWidth="1"/>
    <col min="42" max="42" width="2.7109375" style="26" customWidth="1"/>
    <col min="43" max="16384" width="9.140625" style="26" hidden="1"/>
  </cols>
  <sheetData>
    <row r="1" spans="1:42" s="25" customFormat="1">
      <c r="B1" s="5"/>
      <c r="C1" s="5"/>
      <c r="D1" s="5"/>
      <c r="E1" s="5"/>
      <c r="F1" s="5"/>
      <c r="G1" s="5"/>
      <c r="H1" s="5" t="s">
        <v>3</v>
      </c>
      <c r="I1" s="5"/>
      <c r="J1" s="5" t="s">
        <v>2</v>
      </c>
      <c r="K1" s="5"/>
      <c r="L1" s="5">
        <v>2022</v>
      </c>
      <c r="M1" s="5">
        <v>2023</v>
      </c>
      <c r="N1" s="5">
        <v>2024</v>
      </c>
      <c r="O1" s="5">
        <v>2025</v>
      </c>
      <c r="P1" s="5">
        <v>2026</v>
      </c>
      <c r="Q1" s="5">
        <v>2027</v>
      </c>
      <c r="R1" s="5">
        <v>2028</v>
      </c>
      <c r="S1" s="5">
        <v>2029</v>
      </c>
      <c r="T1" s="5">
        <v>2030</v>
      </c>
      <c r="U1" s="5">
        <v>2031</v>
      </c>
      <c r="V1" s="5">
        <v>2032</v>
      </c>
      <c r="W1" s="5">
        <v>2033</v>
      </c>
      <c r="X1" s="5">
        <v>2034</v>
      </c>
      <c r="Y1" s="5">
        <v>2035</v>
      </c>
      <c r="Z1" s="5">
        <v>2036</v>
      </c>
      <c r="AA1" s="5">
        <v>2037</v>
      </c>
      <c r="AB1" s="5">
        <v>2038</v>
      </c>
      <c r="AC1" s="5">
        <v>2039</v>
      </c>
      <c r="AD1" s="5">
        <v>2040</v>
      </c>
      <c r="AE1" s="5">
        <v>2041</v>
      </c>
      <c r="AF1" s="5">
        <v>2042</v>
      </c>
      <c r="AG1" s="5">
        <v>2043</v>
      </c>
      <c r="AH1" s="5">
        <v>2044</v>
      </c>
      <c r="AI1" s="5">
        <v>2045</v>
      </c>
      <c r="AJ1" s="5">
        <v>2046</v>
      </c>
      <c r="AK1" s="5">
        <v>2047</v>
      </c>
      <c r="AL1" s="5">
        <v>2048</v>
      </c>
      <c r="AM1" s="5">
        <v>2049</v>
      </c>
      <c r="AN1" s="5">
        <v>2050</v>
      </c>
      <c r="AO1" s="5">
        <v>2051</v>
      </c>
    </row>
    <row r="2" spans="1:42" s="77" customFormat="1" ht="13.5" thickBot="1">
      <c r="A2" s="26"/>
      <c r="B2" s="14"/>
      <c r="C2" s="14" t="s">
        <v>94</v>
      </c>
      <c r="D2" s="14"/>
      <c r="E2" s="14"/>
      <c r="F2" s="14"/>
      <c r="G2" s="14"/>
      <c r="H2" s="15" t="s">
        <v>4</v>
      </c>
      <c r="I2" s="14"/>
      <c r="J2" s="60">
        <f>SUM(L2:AO2)</f>
        <v>6911101.5286736079</v>
      </c>
      <c r="K2" s="60"/>
      <c r="L2" s="60">
        <f>Выручка!L39</f>
        <v>316666.66666666669</v>
      </c>
      <c r="M2" s="60">
        <f>Выручка!M39</f>
        <v>329333.33333333337</v>
      </c>
      <c r="N2" s="60">
        <f>Выручка!N39</f>
        <v>342506.66666666674</v>
      </c>
      <c r="O2" s="60">
        <f>Выручка!O39</f>
        <v>356206.93333333341</v>
      </c>
      <c r="P2" s="60">
        <f>Выручка!P39</f>
        <v>370455.21066666674</v>
      </c>
      <c r="Q2" s="60">
        <f>Выручка!Q39</f>
        <v>385273.41909333342</v>
      </c>
      <c r="R2" s="60">
        <f>Выручка!R39</f>
        <v>400684.35585706675</v>
      </c>
      <c r="S2" s="60">
        <f>Выручка!S39</f>
        <v>416711.7300913494</v>
      </c>
      <c r="T2" s="60">
        <f>Выручка!T39</f>
        <v>433380.19929500343</v>
      </c>
      <c r="U2" s="60">
        <f>Выручка!U39</f>
        <v>450715.40726680361</v>
      </c>
      <c r="V2" s="60">
        <f>Выручка!V39</f>
        <v>468744.02355747571</v>
      </c>
      <c r="W2" s="60">
        <f>Выручка!W39</f>
        <v>487493.78449977486</v>
      </c>
      <c r="X2" s="60">
        <f>Выручка!X39</f>
        <v>506993.5358797657</v>
      </c>
      <c r="Y2" s="60">
        <f>Выручка!Y39</f>
        <v>527273.27731495642</v>
      </c>
      <c r="Z2" s="60">
        <f>Выручка!Z39</f>
        <v>548364.20840755478</v>
      </c>
      <c r="AA2" s="60">
        <f>Выручка!AA39</f>
        <v>570298.77674385696</v>
      </c>
      <c r="AB2" s="60">
        <f>Выручка!AB39</f>
        <v>0</v>
      </c>
      <c r="AC2" s="60">
        <f>Выручка!AC39</f>
        <v>0</v>
      </c>
      <c r="AD2" s="60">
        <f>Выручка!AD39</f>
        <v>0</v>
      </c>
      <c r="AE2" s="60">
        <f>Выручка!AE39</f>
        <v>0</v>
      </c>
      <c r="AF2" s="60">
        <f>Выручка!AF39</f>
        <v>0</v>
      </c>
      <c r="AG2" s="60">
        <f>Выручка!AG39</f>
        <v>0</v>
      </c>
      <c r="AH2" s="60">
        <f>Выручка!AH39</f>
        <v>0</v>
      </c>
      <c r="AI2" s="60">
        <f>Выручка!AI39</f>
        <v>0</v>
      </c>
      <c r="AJ2" s="60">
        <f>Выручка!AJ39</f>
        <v>0</v>
      </c>
      <c r="AK2" s="60">
        <f>Выручка!AK39</f>
        <v>0</v>
      </c>
      <c r="AL2" s="60">
        <f>Выручка!AL39</f>
        <v>0</v>
      </c>
      <c r="AM2" s="60">
        <f>Выручка!AM39</f>
        <v>0</v>
      </c>
      <c r="AN2" s="60">
        <f>Выручка!AN39</f>
        <v>0</v>
      </c>
      <c r="AO2" s="60">
        <f>Выручка!AO39</f>
        <v>0</v>
      </c>
    </row>
    <row r="3" spans="1:42" ht="5.0999999999999996" customHeight="1">
      <c r="B3" s="6"/>
      <c r="C3" s="6"/>
      <c r="D3" s="6"/>
      <c r="E3" s="6"/>
      <c r="F3" s="6"/>
      <c r="G3" s="6"/>
      <c r="H3" s="1"/>
      <c r="I3" s="6"/>
      <c r="J3" s="2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2" s="77" customFormat="1" ht="13.5" thickBot="1">
      <c r="A4" s="26"/>
      <c r="B4" s="14"/>
      <c r="C4" s="14" t="s">
        <v>95</v>
      </c>
      <c r="D4" s="14"/>
      <c r="E4" s="14"/>
      <c r="F4" s="14"/>
      <c r="G4" s="14"/>
      <c r="H4" s="15" t="s">
        <v>4</v>
      </c>
      <c r="I4" s="14"/>
      <c r="J4" s="60">
        <f>SUM(L4:AO4)</f>
        <v>-1981480.7623222263</v>
      </c>
      <c r="K4" s="60"/>
      <c r="L4" s="60">
        <f>(OPEX!L14)*-1</f>
        <v>-103333.33333333333</v>
      </c>
      <c r="M4" s="60">
        <f>(OPEX!M14)*-1</f>
        <v>-106833.33333333333</v>
      </c>
      <c r="N4" s="60">
        <f>(OPEX!N14)*-1</f>
        <v>-110458.33333333333</v>
      </c>
      <c r="O4" s="60">
        <f>(OPEX!O14)*-1</f>
        <v>-114213.08333333334</v>
      </c>
      <c r="P4" s="60">
        <f>(OPEX!P14)*-1</f>
        <v>-118102.52583333332</v>
      </c>
      <c r="Q4" s="60">
        <f>(OPEX!Q14)*-1</f>
        <v>-122131.80410833334</v>
      </c>
      <c r="R4" s="60">
        <f>(OPEX!R14)*-1</f>
        <v>-126306.27085658335</v>
      </c>
      <c r="S4" s="60">
        <f>(OPEX!S14)*-1</f>
        <v>-130631.49723853084</v>
      </c>
      <c r="T4" s="60">
        <f>(OPEX!T14)*-1</f>
        <v>-135113.28232474925</v>
      </c>
      <c r="U4" s="60">
        <f>(OPEX!U14)*-1</f>
        <v>-139757.66297200738</v>
      </c>
      <c r="V4" s="60">
        <f>(OPEX!V14)*-1</f>
        <v>-144570.92414755898</v>
      </c>
      <c r="W4" s="60">
        <f>(OPEX!W14)*-1</f>
        <v>-149559.60972269677</v>
      </c>
      <c r="X4" s="60">
        <f>(OPEX!X14)*-1</f>
        <v>-154730.53375762422</v>
      </c>
      <c r="Y4" s="60">
        <f>(OPEX!Y14)*-1</f>
        <v>-160090.79230076176</v>
      </c>
      <c r="Z4" s="60">
        <f>(OPEX!Z14)*-1</f>
        <v>-165647.77572671394</v>
      </c>
      <c r="AA4" s="60">
        <f>(OPEX!AA14)*-1</f>
        <v>0</v>
      </c>
      <c r="AB4" s="60">
        <f>(OPEX!AB14)*-1</f>
        <v>0</v>
      </c>
      <c r="AC4" s="60">
        <f>(OPEX!AC14)*-1</f>
        <v>0</v>
      </c>
      <c r="AD4" s="60">
        <f>(OPEX!AD14)*-1</f>
        <v>0</v>
      </c>
      <c r="AE4" s="60">
        <f>(OPEX!AE14)*-1</f>
        <v>0</v>
      </c>
      <c r="AF4" s="60">
        <f>(OPEX!AF14)*-1</f>
        <v>0</v>
      </c>
      <c r="AG4" s="60">
        <f>(OPEX!AG14)*-1</f>
        <v>0</v>
      </c>
      <c r="AH4" s="60">
        <f>(OPEX!AH14)*-1</f>
        <v>0</v>
      </c>
      <c r="AI4" s="60">
        <f>(OPEX!AI14)*-1</f>
        <v>0</v>
      </c>
      <c r="AJ4" s="60">
        <f>(OPEX!AJ14)*-1</f>
        <v>0</v>
      </c>
      <c r="AK4" s="60">
        <f>(OPEX!AK14)*-1</f>
        <v>0</v>
      </c>
      <c r="AL4" s="60">
        <f>(OPEX!AL14)*-1</f>
        <v>0</v>
      </c>
      <c r="AM4" s="60">
        <f>(OPEX!AM14)*-1</f>
        <v>0</v>
      </c>
      <c r="AN4" s="60">
        <f>(OPEX!AN14)*-1</f>
        <v>0</v>
      </c>
      <c r="AO4" s="60">
        <f>(OPEX!AO14)*-1</f>
        <v>0</v>
      </c>
    </row>
    <row r="5" spans="1:42" ht="5.0999999999999996" customHeight="1">
      <c r="B5" s="6"/>
      <c r="C5" s="6"/>
      <c r="D5" s="6"/>
      <c r="E5" s="6"/>
      <c r="F5" s="6"/>
      <c r="G5" s="6"/>
      <c r="H5" s="1"/>
      <c r="I5" s="6"/>
      <c r="J5" s="2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2" hidden="1">
      <c r="B6" s="6"/>
      <c r="C6" s="6"/>
      <c r="D6" s="6" t="s">
        <v>105</v>
      </c>
      <c r="E6" s="6"/>
      <c r="F6" s="6"/>
      <c r="G6" s="6"/>
      <c r="H6" s="1" t="s">
        <v>4</v>
      </c>
      <c r="I6" s="6"/>
      <c r="J6" s="29">
        <f t="shared" ref="J6:J15" si="0">SUM(L6:AO6)</f>
        <v>0</v>
      </c>
      <c r="K6" s="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2" hidden="1">
      <c r="B7" s="6"/>
      <c r="C7" s="6"/>
      <c r="D7" s="6" t="s">
        <v>106</v>
      </c>
      <c r="E7" s="6"/>
      <c r="F7" s="6"/>
      <c r="G7" s="6"/>
      <c r="H7" s="1" t="s">
        <v>4</v>
      </c>
      <c r="I7" s="6"/>
      <c r="J7" s="29">
        <f t="shared" si="0"/>
        <v>0</v>
      </c>
      <c r="K7" s="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2" s="77" customFormat="1" ht="13.5" thickBot="1">
      <c r="A8" s="26"/>
      <c r="B8" s="14"/>
      <c r="C8" s="14" t="s">
        <v>199</v>
      </c>
      <c r="D8" s="14"/>
      <c r="E8" s="14"/>
      <c r="F8" s="14"/>
      <c r="G8" s="14"/>
      <c r="H8" s="15" t="s">
        <v>4</v>
      </c>
      <c r="I8" s="14"/>
      <c r="J8" s="60">
        <f t="shared" si="0"/>
        <v>4929620.7663513813</v>
      </c>
      <c r="K8" s="60"/>
      <c r="L8" s="60">
        <f t="shared" ref="L8:AJ8" si="1">SUM(L2:L7)</f>
        <v>213333.33333333337</v>
      </c>
      <c r="M8" s="60">
        <f t="shared" si="1"/>
        <v>222500.00000000006</v>
      </c>
      <c r="N8" s="60">
        <f t="shared" si="1"/>
        <v>232048.33333333343</v>
      </c>
      <c r="O8" s="60">
        <f t="shared" si="1"/>
        <v>241993.85000000006</v>
      </c>
      <c r="P8" s="60">
        <f t="shared" si="1"/>
        <v>252352.68483333342</v>
      </c>
      <c r="Q8" s="60">
        <f t="shared" si="1"/>
        <v>263141.61498500011</v>
      </c>
      <c r="R8" s="60">
        <f t="shared" si="1"/>
        <v>274378.08500048344</v>
      </c>
      <c r="S8" s="60">
        <f t="shared" si="1"/>
        <v>286080.23285281856</v>
      </c>
      <c r="T8" s="60">
        <f t="shared" si="1"/>
        <v>298266.91697025415</v>
      </c>
      <c r="U8" s="60">
        <f t="shared" si="1"/>
        <v>310957.74429479626</v>
      </c>
      <c r="V8" s="60">
        <f t="shared" si="1"/>
        <v>324173.09940991673</v>
      </c>
      <c r="W8" s="60">
        <f t="shared" si="1"/>
        <v>337934.17477707809</v>
      </c>
      <c r="X8" s="60">
        <f t="shared" si="1"/>
        <v>352263.00212214148</v>
      </c>
      <c r="Y8" s="60">
        <f t="shared" si="1"/>
        <v>367182.48501419462</v>
      </c>
      <c r="Z8" s="60">
        <f t="shared" si="1"/>
        <v>382716.43268084084</v>
      </c>
      <c r="AA8" s="60">
        <f t="shared" si="1"/>
        <v>570298.77674385696</v>
      </c>
      <c r="AB8" s="60">
        <f t="shared" si="1"/>
        <v>0</v>
      </c>
      <c r="AC8" s="60">
        <f t="shared" si="1"/>
        <v>0</v>
      </c>
      <c r="AD8" s="60">
        <f t="shared" si="1"/>
        <v>0</v>
      </c>
      <c r="AE8" s="60">
        <f t="shared" si="1"/>
        <v>0</v>
      </c>
      <c r="AF8" s="60">
        <f t="shared" si="1"/>
        <v>0</v>
      </c>
      <c r="AG8" s="60">
        <f t="shared" si="1"/>
        <v>0</v>
      </c>
      <c r="AH8" s="60">
        <f t="shared" si="1"/>
        <v>0</v>
      </c>
      <c r="AI8" s="60">
        <f t="shared" si="1"/>
        <v>0</v>
      </c>
      <c r="AJ8" s="60">
        <f t="shared" si="1"/>
        <v>0</v>
      </c>
      <c r="AK8" s="60">
        <f t="shared" ref="AK8:AN8" si="2">SUM(AK2:AK7)</f>
        <v>0</v>
      </c>
      <c r="AL8" s="60">
        <f t="shared" si="2"/>
        <v>0</v>
      </c>
      <c r="AM8" s="60">
        <f t="shared" si="2"/>
        <v>0</v>
      </c>
      <c r="AN8" s="60">
        <f t="shared" si="2"/>
        <v>0</v>
      </c>
      <c r="AO8" s="60">
        <f t="shared" ref="AO8" si="3">SUM(AO2:AO7)</f>
        <v>0</v>
      </c>
    </row>
    <row r="9" spans="1:42">
      <c r="B9" s="6"/>
      <c r="C9" s="6"/>
      <c r="D9" s="6" t="s">
        <v>104</v>
      </c>
      <c r="E9" s="6"/>
      <c r="F9" s="6"/>
      <c r="G9" s="6"/>
      <c r="H9" s="1" t="s">
        <v>4</v>
      </c>
      <c r="I9" s="6"/>
      <c r="J9" s="29">
        <f t="shared" si="0"/>
        <v>-56500</v>
      </c>
      <c r="K9" s="6"/>
      <c r="L9" s="76">
        <f>Источники_Долг_WACC!L15</f>
        <v>-7000</v>
      </c>
      <c r="M9" s="76">
        <f>Источники_Долг_WACC!M15</f>
        <v>-15500</v>
      </c>
      <c r="N9" s="76">
        <f>Источники_Долг_WACC!N15</f>
        <v>-14875</v>
      </c>
      <c r="O9" s="76">
        <f>Источники_Долг_WACC!O15</f>
        <v>-10625</v>
      </c>
      <c r="P9" s="76">
        <f>Источники_Долг_WACC!P15</f>
        <v>-6375</v>
      </c>
      <c r="Q9" s="76">
        <f>Источники_Долг_WACC!Q15</f>
        <v>-2125</v>
      </c>
      <c r="R9" s="76">
        <f>Источники_Долг_WACC!R15</f>
        <v>0</v>
      </c>
      <c r="S9" s="76">
        <f>Источники_Долг_WACC!S15</f>
        <v>0</v>
      </c>
      <c r="T9" s="76">
        <f>Источники_Долг_WACC!T15</f>
        <v>0</v>
      </c>
      <c r="U9" s="76">
        <f>Источники_Долг_WACC!U15</f>
        <v>0</v>
      </c>
      <c r="V9" s="76">
        <f>Источники_Долг_WACC!V15</f>
        <v>0</v>
      </c>
      <c r="W9" s="76">
        <f>Источники_Долг_WACC!W15</f>
        <v>0</v>
      </c>
      <c r="X9" s="76">
        <f>Источники_Долг_WACC!X15</f>
        <v>0</v>
      </c>
      <c r="Y9" s="76">
        <f>Источники_Долг_WACC!Y15</f>
        <v>0</v>
      </c>
      <c r="Z9" s="76">
        <f>Источники_Долг_WACC!Z15</f>
        <v>0</v>
      </c>
      <c r="AA9" s="76">
        <f>Источники_Долг_WACC!AA15</f>
        <v>0</v>
      </c>
      <c r="AB9" s="76">
        <f>Источники_Долг_WACC!AB15</f>
        <v>0</v>
      </c>
      <c r="AC9" s="76">
        <f>Источники_Долг_WACC!AC15</f>
        <v>0</v>
      </c>
      <c r="AD9" s="76">
        <f>Источники_Долг_WACC!AD15</f>
        <v>0</v>
      </c>
      <c r="AE9" s="76">
        <f>Источники_Долг_WACC!AE15</f>
        <v>0</v>
      </c>
      <c r="AF9" s="76">
        <f>Источники_Долг_WACC!AF15</f>
        <v>0</v>
      </c>
      <c r="AG9" s="76">
        <f>Источники_Долг_WACC!AG15</f>
        <v>0</v>
      </c>
      <c r="AH9" s="76">
        <f>Источники_Долг_WACC!AH15</f>
        <v>0</v>
      </c>
      <c r="AI9" s="76">
        <f>Источники_Долг_WACC!AI15</f>
        <v>0</v>
      </c>
      <c r="AJ9" s="76">
        <f>Источники_Долг_WACC!AJ15</f>
        <v>0</v>
      </c>
      <c r="AK9" s="76">
        <f>Источники_Долг_WACC!AK15</f>
        <v>0</v>
      </c>
      <c r="AL9" s="76">
        <f>Источники_Долг_WACC!AL15</f>
        <v>0</v>
      </c>
      <c r="AM9" s="76">
        <f>Источники_Долг_WACC!AM15</f>
        <v>0</v>
      </c>
      <c r="AN9" s="76">
        <f>Источники_Долг_WACC!AN15</f>
        <v>0</v>
      </c>
      <c r="AO9" s="76">
        <f>Источники_Долг_WACC!AO15</f>
        <v>0</v>
      </c>
    </row>
    <row r="10" spans="1:42">
      <c r="B10" s="6"/>
      <c r="C10" s="6"/>
      <c r="D10" s="6" t="s">
        <v>96</v>
      </c>
      <c r="E10" s="6"/>
      <c r="F10" s="6"/>
      <c r="G10" s="6"/>
      <c r="H10" s="1" t="s">
        <v>4</v>
      </c>
      <c r="I10" s="6"/>
      <c r="J10" s="29">
        <f t="shared" si="0"/>
        <v>-300612.40000000002</v>
      </c>
      <c r="K10" s="6"/>
      <c r="L10" s="76">
        <f>ROUND(Источники_Долг_WACC!L43,1)</f>
        <v>-10800</v>
      </c>
      <c r="M10" s="76">
        <f>ROUND(Источники_Долг_WACC!M43,1)</f>
        <v>-25200</v>
      </c>
      <c r="N10" s="76">
        <f>ROUND(Источники_Долг_WACC!N43,1)</f>
        <v>-31050</v>
      </c>
      <c r="O10" s="76">
        <f>ROUND(Источники_Долг_WACC!O43,1)</f>
        <v>-33300</v>
      </c>
      <c r="P10" s="76">
        <f>ROUND(Источники_Долг_WACC!P43,1)</f>
        <v>-32456.799999999999</v>
      </c>
      <c r="Q10" s="76">
        <f>ROUND(Источники_Долг_WACC!Q43,1)</f>
        <v>-30431</v>
      </c>
      <c r="R10" s="76">
        <f>ROUND(Источники_Долг_WACC!R43,1)</f>
        <v>-27808.9</v>
      </c>
      <c r="S10" s="76">
        <f>ROUND(Источники_Долг_WACC!S43,1)</f>
        <v>-24886.7</v>
      </c>
      <c r="T10" s="76">
        <f>ROUND(Источники_Долг_WACC!T43,1)</f>
        <v>-21876.799999999999</v>
      </c>
      <c r="U10" s="76">
        <f>ROUND(Источники_Долг_WACC!U43,1)</f>
        <v>-18776.599999999999</v>
      </c>
      <c r="V10" s="76">
        <f>ROUND(Источники_Долг_WACC!V43,1)</f>
        <v>-15583.4</v>
      </c>
      <c r="W10" s="76">
        <f>ROUND(Источники_Долг_WACC!W43,1)</f>
        <v>-12294.4</v>
      </c>
      <c r="X10" s="76">
        <f>ROUND(Источники_Долг_WACC!X43,1)</f>
        <v>-8906.7999999999993</v>
      </c>
      <c r="Y10" s="76">
        <f>ROUND(Источники_Долг_WACC!Y43,1)</f>
        <v>-5417.5</v>
      </c>
      <c r="Z10" s="76">
        <f>ROUND(Источники_Долг_WACC!Z43,1)</f>
        <v>-1823.5</v>
      </c>
      <c r="AA10" s="76">
        <f>ROUND(Источники_Долг_WACC!AA43,1)</f>
        <v>0</v>
      </c>
      <c r="AB10" s="76">
        <f>ROUND(Источники_Долг_WACC!AB43,1)</f>
        <v>0</v>
      </c>
      <c r="AC10" s="76">
        <f>ROUND(Источники_Долг_WACC!AC43,1)</f>
        <v>0</v>
      </c>
      <c r="AD10" s="76">
        <f>ROUND(Источники_Долг_WACC!AD43,1)</f>
        <v>0</v>
      </c>
      <c r="AE10" s="76">
        <f>ROUND(Источники_Долг_WACC!AE43,1)</f>
        <v>0</v>
      </c>
      <c r="AF10" s="76">
        <f>ROUND(Источники_Долг_WACC!AF43,1)</f>
        <v>0</v>
      </c>
      <c r="AG10" s="76">
        <f>ROUND(Источники_Долг_WACC!AG43,1)</f>
        <v>0</v>
      </c>
      <c r="AH10" s="76">
        <f>ROUND(Источники_Долг_WACC!AH43,1)</f>
        <v>0</v>
      </c>
      <c r="AI10" s="76">
        <f>ROUND(Источники_Долг_WACC!AI43,1)</f>
        <v>0</v>
      </c>
      <c r="AJ10" s="76">
        <f>ROUND(Источники_Долг_WACC!AJ43,1)</f>
        <v>0</v>
      </c>
      <c r="AK10" s="76">
        <f>ROUND(Источники_Долг_WACC!AK43,1)</f>
        <v>0</v>
      </c>
      <c r="AL10" s="76">
        <f>ROUND(Источники_Долг_WACC!AL43,1)</f>
        <v>0</v>
      </c>
      <c r="AM10" s="76">
        <f>ROUND(Источники_Долг_WACC!AM43,1)</f>
        <v>0</v>
      </c>
      <c r="AN10" s="76">
        <f>ROUND(Источники_Долг_WACC!AN43,1)</f>
        <v>0</v>
      </c>
      <c r="AO10" s="76">
        <f>ROUND(Источники_Долг_WACC!AO43,1)</f>
        <v>0</v>
      </c>
    </row>
    <row r="11" spans="1:42">
      <c r="B11" s="6"/>
      <c r="C11" s="6"/>
      <c r="D11" s="6" t="s">
        <v>97</v>
      </c>
      <c r="E11" s="6"/>
      <c r="F11" s="6"/>
      <c r="G11" s="6"/>
      <c r="H11" s="1" t="s">
        <v>4</v>
      </c>
      <c r="I11" s="6"/>
      <c r="J11" s="29">
        <f t="shared" si="0"/>
        <v>-44625</v>
      </c>
      <c r="K11" s="6"/>
      <c r="L11" s="76">
        <f>Источники_Долг_WACC!L72</f>
        <v>-10200</v>
      </c>
      <c r="M11" s="76">
        <f>Источники_Долг_WACC!M72</f>
        <v>-10327.5</v>
      </c>
      <c r="N11" s="76">
        <f>Источники_Долг_WACC!N72</f>
        <v>-9945</v>
      </c>
      <c r="O11" s="76">
        <f>Источники_Долг_WACC!O72</f>
        <v>-7862.5</v>
      </c>
      <c r="P11" s="76">
        <f>Источники_Долг_WACC!P72</f>
        <v>-4717.5</v>
      </c>
      <c r="Q11" s="76">
        <f>Источники_Долг_WACC!Q72</f>
        <v>-1572.5</v>
      </c>
      <c r="R11" s="76">
        <f>Источники_Долг_WACC!R72</f>
        <v>0</v>
      </c>
      <c r="S11" s="76">
        <f>Источники_Долг_WACC!S72</f>
        <v>0</v>
      </c>
      <c r="T11" s="76">
        <f>Источники_Долг_WACC!T72</f>
        <v>0</v>
      </c>
      <c r="U11" s="76">
        <f>Источники_Долг_WACC!U72</f>
        <v>0</v>
      </c>
      <c r="V11" s="76">
        <f>Источники_Долг_WACC!V72</f>
        <v>0</v>
      </c>
      <c r="W11" s="76">
        <f>Источники_Долг_WACC!W72</f>
        <v>0</v>
      </c>
      <c r="X11" s="76">
        <f>Источники_Долг_WACC!X72</f>
        <v>0</v>
      </c>
      <c r="Y11" s="76">
        <f>Источники_Долг_WACC!Y72</f>
        <v>0</v>
      </c>
      <c r="Z11" s="76">
        <f>Источники_Долг_WACC!Z72</f>
        <v>0</v>
      </c>
      <c r="AA11" s="76">
        <f>Источники_Долг_WACC!AA72</f>
        <v>0</v>
      </c>
      <c r="AB11" s="76">
        <f>Источники_Долг_WACC!AB72</f>
        <v>0</v>
      </c>
      <c r="AC11" s="76">
        <f>Источники_Долг_WACC!AC72</f>
        <v>0</v>
      </c>
      <c r="AD11" s="76">
        <f>Источники_Долг_WACC!AD72</f>
        <v>0</v>
      </c>
      <c r="AE11" s="76">
        <f>Источники_Долг_WACC!AE72</f>
        <v>0</v>
      </c>
      <c r="AF11" s="76">
        <f>Источники_Долг_WACC!AF72</f>
        <v>0</v>
      </c>
      <c r="AG11" s="76">
        <f>Источники_Долг_WACC!AG72</f>
        <v>0</v>
      </c>
      <c r="AH11" s="76">
        <f>Источники_Долг_WACC!AH72</f>
        <v>0</v>
      </c>
      <c r="AI11" s="76">
        <f>Источники_Долг_WACC!AI72</f>
        <v>0</v>
      </c>
      <c r="AJ11" s="76">
        <f>Источники_Долг_WACC!AJ72</f>
        <v>0</v>
      </c>
      <c r="AK11" s="76">
        <f>Источники_Долг_WACC!AK72</f>
        <v>0</v>
      </c>
      <c r="AL11" s="76">
        <f>Источники_Долг_WACC!AL72</f>
        <v>0</v>
      </c>
      <c r="AM11" s="76">
        <f>Источники_Долг_WACC!AM72</f>
        <v>0</v>
      </c>
      <c r="AN11" s="76">
        <f>Источники_Долг_WACC!AN72</f>
        <v>0</v>
      </c>
      <c r="AO11" s="76">
        <f>Источники_Долг_WACC!AO72</f>
        <v>0</v>
      </c>
    </row>
    <row r="12" spans="1:42" s="77" customFormat="1" ht="13.5" thickBot="1">
      <c r="A12" s="26"/>
      <c r="B12" s="14"/>
      <c r="C12" s="14" t="s">
        <v>98</v>
      </c>
      <c r="D12" s="14"/>
      <c r="E12" s="14"/>
      <c r="F12" s="14"/>
      <c r="G12" s="14"/>
      <c r="H12" s="15" t="s">
        <v>4</v>
      </c>
      <c r="I12" s="14"/>
      <c r="J12" s="60">
        <f t="shared" si="0"/>
        <v>4527883.3663513819</v>
      </c>
      <c r="K12" s="60"/>
      <c r="L12" s="60">
        <f>SUM(L8:L11)</f>
        <v>185333.33333333337</v>
      </c>
      <c r="M12" s="60">
        <f t="shared" ref="M12:AJ12" si="4">SUM(M8:M11)</f>
        <v>171472.50000000006</v>
      </c>
      <c r="N12" s="60">
        <f t="shared" si="4"/>
        <v>176178.33333333343</v>
      </c>
      <c r="O12" s="60">
        <f t="shared" si="4"/>
        <v>190206.35000000006</v>
      </c>
      <c r="P12" s="60">
        <f t="shared" si="4"/>
        <v>208803.38483333343</v>
      </c>
      <c r="Q12" s="60">
        <f t="shared" si="4"/>
        <v>229013.11498500011</v>
      </c>
      <c r="R12" s="60">
        <f t="shared" si="4"/>
        <v>246569.18500048344</v>
      </c>
      <c r="S12" s="60">
        <f t="shared" si="4"/>
        <v>261193.53285281855</v>
      </c>
      <c r="T12" s="60">
        <f t="shared" si="4"/>
        <v>276390.11697025417</v>
      </c>
      <c r="U12" s="60">
        <f t="shared" si="4"/>
        <v>292181.14429479628</v>
      </c>
      <c r="V12" s="60">
        <f t="shared" si="4"/>
        <v>308589.69940991671</v>
      </c>
      <c r="W12" s="60">
        <f t="shared" si="4"/>
        <v>325639.77477707807</v>
      </c>
      <c r="X12" s="60">
        <f t="shared" si="4"/>
        <v>343356.20212214149</v>
      </c>
      <c r="Y12" s="60">
        <f t="shared" si="4"/>
        <v>361764.98501419462</v>
      </c>
      <c r="Z12" s="60">
        <f t="shared" si="4"/>
        <v>380892.93268084084</v>
      </c>
      <c r="AA12" s="60">
        <f t="shared" si="4"/>
        <v>570298.77674385696</v>
      </c>
      <c r="AB12" s="60">
        <f t="shared" si="4"/>
        <v>0</v>
      </c>
      <c r="AC12" s="60">
        <f t="shared" si="4"/>
        <v>0</v>
      </c>
      <c r="AD12" s="60">
        <f t="shared" si="4"/>
        <v>0</v>
      </c>
      <c r="AE12" s="60">
        <f t="shared" si="4"/>
        <v>0</v>
      </c>
      <c r="AF12" s="60">
        <f t="shared" si="4"/>
        <v>0</v>
      </c>
      <c r="AG12" s="60">
        <f t="shared" si="4"/>
        <v>0</v>
      </c>
      <c r="AH12" s="60">
        <f t="shared" si="4"/>
        <v>0</v>
      </c>
      <c r="AI12" s="60">
        <f t="shared" si="4"/>
        <v>0</v>
      </c>
      <c r="AJ12" s="60">
        <f t="shared" si="4"/>
        <v>0</v>
      </c>
      <c r="AK12" s="60">
        <f t="shared" ref="AK12:AN12" si="5">SUM(AK8:AK11)</f>
        <v>0</v>
      </c>
      <c r="AL12" s="60">
        <f t="shared" si="5"/>
        <v>0</v>
      </c>
      <c r="AM12" s="60">
        <f t="shared" si="5"/>
        <v>0</v>
      </c>
      <c r="AN12" s="60">
        <f t="shared" si="5"/>
        <v>0</v>
      </c>
      <c r="AO12" s="60">
        <f t="shared" ref="AO12" si="6">SUM(AO8:AO11)</f>
        <v>0</v>
      </c>
    </row>
    <row r="13" spans="1:42">
      <c r="B13" s="6"/>
      <c r="C13" s="6"/>
      <c r="D13" s="6" t="s">
        <v>99</v>
      </c>
      <c r="E13" s="6"/>
      <c r="F13" s="6"/>
      <c r="G13" s="6"/>
      <c r="H13" s="1" t="s">
        <v>4</v>
      </c>
      <c r="I13" s="6"/>
      <c r="J13" s="29">
        <f t="shared" si="0"/>
        <v>-727976.67327027628</v>
      </c>
      <c r="K13" s="6"/>
      <c r="L13" s="76">
        <f>MIN((-L12-L14)*20%,0)</f>
        <v>-37066.666666666679</v>
      </c>
      <c r="M13" s="76">
        <f t="shared" ref="M13:AO13" si="7">MIN((-M12-M14)*20%,0)</f>
        <v>-34294.500000000015</v>
      </c>
      <c r="N13" s="76">
        <f t="shared" si="7"/>
        <v>-35235.666666666686</v>
      </c>
      <c r="O13" s="76">
        <f t="shared" si="7"/>
        <v>-23241.270000000015</v>
      </c>
      <c r="P13" s="76">
        <f t="shared" si="7"/>
        <v>-26960.676966666688</v>
      </c>
      <c r="Q13" s="76">
        <f t="shared" si="7"/>
        <v>-31002.622997000024</v>
      </c>
      <c r="R13" s="76">
        <f t="shared" si="7"/>
        <v>-34513.83700009669</v>
      </c>
      <c r="S13" s="76">
        <f t="shared" si="7"/>
        <v>-37438.706570563714</v>
      </c>
      <c r="T13" s="76">
        <f t="shared" si="7"/>
        <v>-40478.023394050833</v>
      </c>
      <c r="U13" s="76">
        <f t="shared" si="7"/>
        <v>-43636.228858959257</v>
      </c>
      <c r="V13" s="76">
        <f t="shared" si="7"/>
        <v>-46917.939881983344</v>
      </c>
      <c r="W13" s="76">
        <f t="shared" si="7"/>
        <v>-50327.954955415618</v>
      </c>
      <c r="X13" s="76">
        <f t="shared" si="7"/>
        <v>-53871.240424428303</v>
      </c>
      <c r="Y13" s="76">
        <f t="shared" si="7"/>
        <v>-57552.997002838929</v>
      </c>
      <c r="Z13" s="76">
        <f t="shared" si="7"/>
        <v>-61378.586536168172</v>
      </c>
      <c r="AA13" s="76">
        <f t="shared" si="7"/>
        <v>-114059.7553487714</v>
      </c>
      <c r="AB13" s="76">
        <f t="shared" si="7"/>
        <v>0</v>
      </c>
      <c r="AC13" s="76">
        <f t="shared" si="7"/>
        <v>0</v>
      </c>
      <c r="AD13" s="76">
        <f t="shared" si="7"/>
        <v>0</v>
      </c>
      <c r="AE13" s="76">
        <f t="shared" si="7"/>
        <v>0</v>
      </c>
      <c r="AF13" s="76">
        <f t="shared" si="7"/>
        <v>0</v>
      </c>
      <c r="AG13" s="76">
        <f t="shared" si="7"/>
        <v>0</v>
      </c>
      <c r="AH13" s="76">
        <f t="shared" si="7"/>
        <v>0</v>
      </c>
      <c r="AI13" s="76">
        <f t="shared" si="7"/>
        <v>0</v>
      </c>
      <c r="AJ13" s="76">
        <f t="shared" si="7"/>
        <v>0</v>
      </c>
      <c r="AK13" s="76">
        <f t="shared" si="7"/>
        <v>0</v>
      </c>
      <c r="AL13" s="76">
        <f t="shared" si="7"/>
        <v>0</v>
      </c>
      <c r="AM13" s="76">
        <f t="shared" si="7"/>
        <v>0</v>
      </c>
      <c r="AN13" s="76">
        <f t="shared" si="7"/>
        <v>0</v>
      </c>
      <c r="AO13" s="76">
        <f t="shared" si="7"/>
        <v>0</v>
      </c>
    </row>
    <row r="14" spans="1:42">
      <c r="B14" s="6"/>
      <c r="C14" s="6"/>
      <c r="D14" s="6" t="s">
        <v>191</v>
      </c>
      <c r="E14" s="6"/>
      <c r="F14" s="6"/>
      <c r="G14" s="6"/>
      <c r="H14" s="1" t="s">
        <v>4</v>
      </c>
      <c r="I14" s="6"/>
      <c r="J14" s="29">
        <f t="shared" si="0"/>
        <v>-888000</v>
      </c>
      <c r="K14" s="6"/>
      <c r="L14" s="181"/>
      <c r="M14" s="181"/>
      <c r="N14" s="181"/>
      <c r="O14" s="181">
        <f>$J$17/25</f>
        <v>-74000</v>
      </c>
      <c r="P14" s="181">
        <f t="shared" ref="P14:Z14" si="8">$J$17/25</f>
        <v>-74000</v>
      </c>
      <c r="Q14" s="181">
        <f t="shared" si="8"/>
        <v>-74000</v>
      </c>
      <c r="R14" s="181">
        <f t="shared" si="8"/>
        <v>-74000</v>
      </c>
      <c r="S14" s="181">
        <f t="shared" si="8"/>
        <v>-74000</v>
      </c>
      <c r="T14" s="181">
        <f t="shared" si="8"/>
        <v>-74000</v>
      </c>
      <c r="U14" s="181">
        <f t="shared" si="8"/>
        <v>-74000</v>
      </c>
      <c r="V14" s="181">
        <f t="shared" si="8"/>
        <v>-74000</v>
      </c>
      <c r="W14" s="181">
        <f t="shared" si="8"/>
        <v>-74000</v>
      </c>
      <c r="X14" s="181">
        <f t="shared" si="8"/>
        <v>-74000</v>
      </c>
      <c r="Y14" s="181">
        <f t="shared" si="8"/>
        <v>-74000</v>
      </c>
      <c r="Z14" s="181">
        <f t="shared" si="8"/>
        <v>-74000</v>
      </c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2"/>
    </row>
    <row r="15" spans="1:42" ht="13.5" thickBot="1">
      <c r="B15" s="21" t="s">
        <v>100</v>
      </c>
      <c r="C15" s="21"/>
      <c r="D15" s="21"/>
      <c r="E15" s="21"/>
      <c r="F15" s="21"/>
      <c r="G15" s="21"/>
      <c r="H15" s="22" t="s">
        <v>4</v>
      </c>
      <c r="I15" s="21"/>
      <c r="J15" s="30">
        <f t="shared" si="0"/>
        <v>3343667.6716860193</v>
      </c>
      <c r="K15" s="21"/>
      <c r="L15" s="101">
        <f>SUM(L12:L13)*N(L$1&lt;=Табло!$I$11)</f>
        <v>148266.66666666669</v>
      </c>
      <c r="M15" s="101">
        <f>SUM(M12:M13)*N(M$1&lt;=Табло!$I$11)</f>
        <v>137178.00000000006</v>
      </c>
      <c r="N15" s="101">
        <f>SUM(N12:N13)*N(N$1&lt;=Табло!$I$11)</f>
        <v>140942.66666666674</v>
      </c>
      <c r="O15" s="101">
        <f>SUM(O12:O13)*N(O$1&lt;=Табло!$I$11)</f>
        <v>166965.08000000005</v>
      </c>
      <c r="P15" s="101">
        <f>SUM(P12:P13)*N(P$1&lt;=Табло!$I$11)</f>
        <v>181842.70786666675</v>
      </c>
      <c r="Q15" s="101">
        <f>SUM(Q12:Q13)*N(Q$1&lt;=Табло!$I$11)</f>
        <v>198010.49198800008</v>
      </c>
      <c r="R15" s="101">
        <f>SUM(R12:R13)*N(R$1&lt;=Табло!$I$11)</f>
        <v>212055.34800038676</v>
      </c>
      <c r="S15" s="101">
        <f>SUM(S12:S13)*N(S$1&lt;=Табло!$I$11)</f>
        <v>223754.82628225483</v>
      </c>
      <c r="T15" s="101">
        <f>SUM(T12:T13)*N(T$1&lt;=Табло!$I$11)</f>
        <v>235912.09357620333</v>
      </c>
      <c r="U15" s="101">
        <f>SUM(U12:U13)*N(U$1&lt;=Табло!$I$11)</f>
        <v>248544.91543583703</v>
      </c>
      <c r="V15" s="101">
        <f>SUM(V12:V13)*N(V$1&lt;=Табло!$I$11)</f>
        <v>261671.75952793338</v>
      </c>
      <c r="W15" s="101">
        <f>SUM(W12:W13)*N(W$1&lt;=Табло!$I$11)</f>
        <v>275311.81982166244</v>
      </c>
      <c r="X15" s="101">
        <f>SUM(X12:X13)*N(X$1&lt;=Табло!$I$11)</f>
        <v>289484.96169771318</v>
      </c>
      <c r="Y15" s="101">
        <f>SUM(Y12:Y13)*N(Y$1&lt;=Табло!$I$11)</f>
        <v>304211.98801135569</v>
      </c>
      <c r="Z15" s="101">
        <f>SUM(Z12:Z13)*N(Z$1&lt;=Табло!$I$11)</f>
        <v>319514.34614467266</v>
      </c>
      <c r="AA15" s="101">
        <f>SUM(AA12:AA13)*N(AA$1&lt;=Табло!$I$11)</f>
        <v>0</v>
      </c>
      <c r="AB15" s="101">
        <f>SUM(AB12:AB13)*N(AB$1&lt;=Табло!$I$11)</f>
        <v>0</v>
      </c>
      <c r="AC15" s="101">
        <f>SUM(AC12:AC13)*N(AC$1&lt;=Табло!$I$11)</f>
        <v>0</v>
      </c>
      <c r="AD15" s="101">
        <f>SUM(AD12:AD13)*N(AD$1&lt;=Табло!$I$11)</f>
        <v>0</v>
      </c>
      <c r="AE15" s="101">
        <f>SUM(AE12:AE13)*N(AE$1&lt;=Табло!$I$11)</f>
        <v>0</v>
      </c>
      <c r="AF15" s="101">
        <f>SUM(AF12:AF13)*N(AF$1&lt;=Табло!$I$11)</f>
        <v>0</v>
      </c>
      <c r="AG15" s="101">
        <f>SUM(AG12:AG13)*N(AG$1&lt;=Табло!$I$11)</f>
        <v>0</v>
      </c>
      <c r="AH15" s="101">
        <f>SUM(AH12:AH13)*N(AH$1&lt;=Табло!$I$11)</f>
        <v>0</v>
      </c>
      <c r="AI15" s="101">
        <f>SUM(AI12:AI13)*N(AI$1&lt;=Табло!$I$11)</f>
        <v>0</v>
      </c>
      <c r="AJ15" s="101">
        <f>SUM(AJ12:AJ13)*N(AJ$1&lt;=Табло!$I$11)</f>
        <v>0</v>
      </c>
      <c r="AK15" s="101">
        <f>SUM(AK12:AK13)*N(AK$1&lt;=Табло!$I$11)</f>
        <v>0</v>
      </c>
      <c r="AL15" s="101">
        <f>SUM(AL12:AL13)*N(AL$1&lt;=Табло!$I$11)</f>
        <v>0</v>
      </c>
      <c r="AM15" s="101">
        <f>SUM(AM12:AM13)*N(AM$1&lt;=Табло!$I$11)</f>
        <v>0</v>
      </c>
      <c r="AN15" s="101">
        <f>SUM(AN12:AN13)*N(AN$1&lt;=Табло!$I$11)</f>
        <v>0</v>
      </c>
      <c r="AO15" s="101">
        <f>SUM(AO12:AO13)*N(AO$1&lt;=Табло!$I$11)</f>
        <v>0</v>
      </c>
    </row>
    <row r="16" spans="1:42" ht="5.0999999999999996" customHeight="1" thickTop="1">
      <c r="B16" s="6"/>
      <c r="C16" s="6"/>
      <c r="D16" s="6"/>
      <c r="E16" s="6"/>
      <c r="F16" s="6"/>
      <c r="G16" s="6"/>
      <c r="H16" s="1"/>
      <c r="I16" s="6"/>
      <c r="J16" s="2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1">
      <c r="B17" s="6"/>
      <c r="C17" s="6" t="s">
        <v>195</v>
      </c>
      <c r="D17" s="6"/>
      <c r="E17" s="6"/>
      <c r="F17" s="6"/>
      <c r="G17" s="6"/>
      <c r="H17" s="1" t="s">
        <v>4</v>
      </c>
      <c r="I17" s="6"/>
      <c r="J17" s="29">
        <f>SUM(L17:AO17)</f>
        <v>-1850000</v>
      </c>
      <c r="K17" s="6"/>
      <c r="L17" s="76">
        <f>(CAPEX!L2)*-1</f>
        <v>-1200000</v>
      </c>
      <c r="M17" s="76">
        <f>(CAPEX!M2)*-1</f>
        <v>-400000</v>
      </c>
      <c r="N17" s="76">
        <f>(CAPEX!N2)*-1</f>
        <v>-250000</v>
      </c>
      <c r="O17" s="76">
        <f>(CAPEX!O2)*-1</f>
        <v>0</v>
      </c>
      <c r="P17" s="76">
        <f>(CAPEX!P2)*-1</f>
        <v>0</v>
      </c>
      <c r="Q17" s="76">
        <f>(CAPEX!Q2)*-1</f>
        <v>0</v>
      </c>
      <c r="R17" s="76">
        <f>(CAPEX!R2)*-1</f>
        <v>0</v>
      </c>
      <c r="S17" s="76">
        <f>(CAPEX!S2)*-1</f>
        <v>0</v>
      </c>
      <c r="T17" s="76">
        <f>(CAPEX!T2)*-1</f>
        <v>0</v>
      </c>
      <c r="U17" s="76">
        <f>(CAPEX!U2)*-1</f>
        <v>0</v>
      </c>
      <c r="V17" s="76">
        <f>(CAPEX!V2)*-1</f>
        <v>0</v>
      </c>
      <c r="W17" s="76">
        <f>(CAPEX!W2)*-1</f>
        <v>0</v>
      </c>
      <c r="X17" s="76">
        <f>(CAPEX!X2)*-1</f>
        <v>0</v>
      </c>
      <c r="Y17" s="76">
        <f>(CAPEX!Y2)*-1</f>
        <v>0</v>
      </c>
      <c r="Z17" s="76">
        <f>(CAPEX!Z2)*-1</f>
        <v>0</v>
      </c>
      <c r="AA17" s="76">
        <f>(CAPEX!AA2)*-1</f>
        <v>0</v>
      </c>
      <c r="AB17" s="76">
        <f>(CAPEX!AB2)*-1</f>
        <v>0</v>
      </c>
      <c r="AC17" s="76">
        <f>(CAPEX!AC2)*-1</f>
        <v>0</v>
      </c>
      <c r="AD17" s="76">
        <f>(CAPEX!AD2)*-1</f>
        <v>0</v>
      </c>
      <c r="AE17" s="76">
        <f>(CAPEX!AE2)*-1</f>
        <v>0</v>
      </c>
      <c r="AF17" s="76">
        <f>(CAPEX!AF2)*-1</f>
        <v>0</v>
      </c>
      <c r="AG17" s="76">
        <f>(CAPEX!AG2)*-1</f>
        <v>0</v>
      </c>
      <c r="AH17" s="76">
        <f>(CAPEX!AH2)*-1</f>
        <v>0</v>
      </c>
      <c r="AI17" s="76">
        <f>(CAPEX!AI2)*-1</f>
        <v>0</v>
      </c>
      <c r="AJ17" s="76">
        <f>(CAPEX!AJ2)*-1</f>
        <v>0</v>
      </c>
      <c r="AK17" s="76">
        <f>(CAPEX!AK2)*-1</f>
        <v>0</v>
      </c>
      <c r="AL17" s="76">
        <f>(CAPEX!AL2)*-1</f>
        <v>0</v>
      </c>
      <c r="AM17" s="76">
        <f>(CAPEX!AM2)*-1</f>
        <v>0</v>
      </c>
      <c r="AN17" s="76">
        <f>(CAPEX!AN2)*-1</f>
        <v>0</v>
      </c>
      <c r="AO17" s="76">
        <f>(CAPEX!AO2)*-1</f>
        <v>0</v>
      </c>
    </row>
    <row r="18" spans="2:41">
      <c r="B18" s="6"/>
      <c r="C18" s="6" t="s">
        <v>126</v>
      </c>
      <c r="D18" s="6"/>
      <c r="E18" s="6"/>
      <c r="F18" s="6"/>
      <c r="G18" s="6"/>
      <c r="H18" s="1" t="s">
        <v>4</v>
      </c>
      <c r="I18" s="6"/>
      <c r="J18" s="29">
        <f>SUM(L18:AO18)</f>
        <v>185000</v>
      </c>
      <c r="K18" s="6"/>
      <c r="L18" s="76">
        <f>Источники_Долг_WACC!L18</f>
        <v>120000</v>
      </c>
      <c r="M18" s="76">
        <f>Источники_Долг_WACC!M18</f>
        <v>40000</v>
      </c>
      <c r="N18" s="76">
        <f>Источники_Долг_WACC!N18</f>
        <v>25000</v>
      </c>
      <c r="O18" s="76">
        <f>Источники_Долг_WACC!O18</f>
        <v>0</v>
      </c>
      <c r="P18" s="76">
        <f>Источники_Долг_WACC!P18</f>
        <v>0</v>
      </c>
      <c r="Q18" s="76">
        <f>Источники_Долг_WACC!Q18</f>
        <v>0</v>
      </c>
      <c r="R18" s="76">
        <f>Источники_Долг_WACC!R18</f>
        <v>0</v>
      </c>
      <c r="S18" s="76">
        <f>Источники_Долг_WACC!S18</f>
        <v>0</v>
      </c>
      <c r="T18" s="76">
        <f>Источники_Долг_WACC!T18</f>
        <v>0</v>
      </c>
      <c r="U18" s="76">
        <f>Источники_Долг_WACC!U18</f>
        <v>0</v>
      </c>
      <c r="V18" s="76">
        <f>Источники_Долг_WACC!V18</f>
        <v>0</v>
      </c>
      <c r="W18" s="76">
        <f>Источники_Долг_WACC!W18</f>
        <v>0</v>
      </c>
      <c r="X18" s="76">
        <f>Источники_Долг_WACC!X18</f>
        <v>0</v>
      </c>
      <c r="Y18" s="76">
        <f>Источники_Долг_WACC!Y18</f>
        <v>0</v>
      </c>
      <c r="Z18" s="76">
        <f>Источники_Долг_WACC!Z18</f>
        <v>0</v>
      </c>
      <c r="AA18" s="76">
        <f>Источники_Долг_WACC!AA18</f>
        <v>0</v>
      </c>
      <c r="AB18" s="76">
        <f>Источники_Долг_WACC!AB18</f>
        <v>0</v>
      </c>
      <c r="AC18" s="76">
        <f>Источники_Долг_WACC!AC18</f>
        <v>0</v>
      </c>
      <c r="AD18" s="76">
        <f>Источники_Долг_WACC!AD18</f>
        <v>0</v>
      </c>
      <c r="AE18" s="76">
        <f>Источники_Долг_WACC!AE18</f>
        <v>0</v>
      </c>
      <c r="AF18" s="76">
        <f>Источники_Долг_WACC!AF18</f>
        <v>0</v>
      </c>
      <c r="AG18" s="76">
        <f>Источники_Долг_WACC!AG18</f>
        <v>0</v>
      </c>
      <c r="AH18" s="76">
        <f>Источники_Долг_WACC!AH18</f>
        <v>0</v>
      </c>
      <c r="AI18" s="76">
        <f>Источники_Долг_WACC!AI18</f>
        <v>0</v>
      </c>
      <c r="AJ18" s="76">
        <f>Источники_Долг_WACC!AJ18</f>
        <v>0</v>
      </c>
      <c r="AK18" s="76">
        <f>Источники_Долг_WACC!AK18</f>
        <v>0</v>
      </c>
      <c r="AL18" s="76">
        <f>Источники_Долг_WACC!AL18</f>
        <v>0</v>
      </c>
      <c r="AM18" s="76">
        <f>Источники_Долг_WACC!AM18</f>
        <v>0</v>
      </c>
      <c r="AN18" s="76">
        <f>Источники_Долг_WACC!AN18</f>
        <v>0</v>
      </c>
      <c r="AO18" s="76">
        <f>Источники_Долг_WACC!AO18</f>
        <v>0</v>
      </c>
    </row>
    <row r="19" spans="2:41">
      <c r="B19" s="6"/>
      <c r="C19" s="6" t="s">
        <v>194</v>
      </c>
      <c r="D19" s="6"/>
      <c r="E19" s="6"/>
      <c r="F19" s="6"/>
      <c r="G19" s="6"/>
      <c r="H19" s="1" t="s">
        <v>4</v>
      </c>
      <c r="I19" s="6"/>
      <c r="J19" s="29">
        <f>SUM(L19:AO19)</f>
        <v>246666.66666666669</v>
      </c>
      <c r="K19" s="6"/>
      <c r="L19" s="76">
        <f>CAPEX!L8</f>
        <v>0</v>
      </c>
      <c r="M19" s="76">
        <f>CAPEX!M8</f>
        <v>160000</v>
      </c>
      <c r="N19" s="76">
        <f>CAPEX!N8</f>
        <v>53333.333333333343</v>
      </c>
      <c r="O19" s="76">
        <f>CAPEX!O8</f>
        <v>33333.333333333336</v>
      </c>
      <c r="P19" s="76">
        <f>CAPEX!P8</f>
        <v>0</v>
      </c>
      <c r="Q19" s="76">
        <f>CAPEX!Q8</f>
        <v>0</v>
      </c>
      <c r="R19" s="76">
        <f>CAPEX!R8</f>
        <v>0</v>
      </c>
      <c r="S19" s="76">
        <f>CAPEX!S8</f>
        <v>0</v>
      </c>
      <c r="T19" s="76">
        <f>CAPEX!T8</f>
        <v>0</v>
      </c>
      <c r="U19" s="76">
        <f>CAPEX!U8</f>
        <v>0</v>
      </c>
      <c r="V19" s="76">
        <f>CAPEX!V8</f>
        <v>0</v>
      </c>
      <c r="W19" s="76">
        <f>CAPEX!W8</f>
        <v>0</v>
      </c>
      <c r="X19" s="76">
        <f>CAPEX!X8</f>
        <v>0</v>
      </c>
      <c r="Y19" s="76">
        <f>CAPEX!Y8</f>
        <v>0</v>
      </c>
      <c r="Z19" s="76">
        <f>CAPEX!Z8</f>
        <v>0</v>
      </c>
      <c r="AA19" s="76">
        <f>CAPEX!AA8</f>
        <v>0</v>
      </c>
      <c r="AB19" s="76">
        <f>CAPEX!AB8</f>
        <v>0</v>
      </c>
      <c r="AC19" s="76">
        <f>CAPEX!AC8</f>
        <v>0</v>
      </c>
      <c r="AD19" s="76">
        <f>CAPEX!AD8</f>
        <v>0</v>
      </c>
      <c r="AE19" s="76">
        <f>CAPEX!AE8</f>
        <v>0</v>
      </c>
      <c r="AF19" s="76">
        <f>CAPEX!AF8</f>
        <v>0</v>
      </c>
      <c r="AG19" s="76">
        <f>CAPEX!AG8</f>
        <v>0</v>
      </c>
      <c r="AH19" s="76">
        <f>CAPEX!AH8</f>
        <v>0</v>
      </c>
      <c r="AI19" s="76">
        <f>CAPEX!AI8</f>
        <v>0</v>
      </c>
      <c r="AJ19" s="76">
        <f>CAPEX!AJ8</f>
        <v>0</v>
      </c>
      <c r="AK19" s="76">
        <f>CAPEX!AK8</f>
        <v>0</v>
      </c>
      <c r="AL19" s="76">
        <f>CAPEX!AL8</f>
        <v>0</v>
      </c>
      <c r="AM19" s="76">
        <f>CAPEX!AM8</f>
        <v>0</v>
      </c>
      <c r="AN19" s="76">
        <f>CAPEX!AN8</f>
        <v>0</v>
      </c>
      <c r="AO19" s="76">
        <f>CAPEX!AO8</f>
        <v>0</v>
      </c>
    </row>
    <row r="20" spans="2:41" ht="13.5" thickBot="1">
      <c r="B20" s="21" t="s">
        <v>101</v>
      </c>
      <c r="C20" s="21"/>
      <c r="D20" s="21"/>
      <c r="E20" s="21"/>
      <c r="F20" s="21"/>
      <c r="G20" s="21"/>
      <c r="H20" s="22" t="s">
        <v>4</v>
      </c>
      <c r="I20" s="21"/>
      <c r="J20" s="30">
        <f>SUM(L20:AO20)</f>
        <v>-1418333.3333333335</v>
      </c>
      <c r="K20" s="21"/>
      <c r="L20" s="101">
        <f>SUM(L17:L19)</f>
        <v>-1080000</v>
      </c>
      <c r="M20" s="101">
        <f t="shared" ref="M20:AJ20" si="9">SUM(M17:M19)</f>
        <v>-200000</v>
      </c>
      <c r="N20" s="101">
        <f t="shared" si="9"/>
        <v>-171666.66666666666</v>
      </c>
      <c r="O20" s="101">
        <f t="shared" si="9"/>
        <v>33333.333333333336</v>
      </c>
      <c r="P20" s="101">
        <f t="shared" si="9"/>
        <v>0</v>
      </c>
      <c r="Q20" s="101">
        <f t="shared" si="9"/>
        <v>0</v>
      </c>
      <c r="R20" s="101">
        <f t="shared" si="9"/>
        <v>0</v>
      </c>
      <c r="S20" s="101">
        <f t="shared" si="9"/>
        <v>0</v>
      </c>
      <c r="T20" s="101">
        <f t="shared" si="9"/>
        <v>0</v>
      </c>
      <c r="U20" s="101">
        <f t="shared" si="9"/>
        <v>0</v>
      </c>
      <c r="V20" s="101">
        <f t="shared" si="9"/>
        <v>0</v>
      </c>
      <c r="W20" s="101">
        <f t="shared" si="9"/>
        <v>0</v>
      </c>
      <c r="X20" s="101">
        <f t="shared" si="9"/>
        <v>0</v>
      </c>
      <c r="Y20" s="101">
        <f t="shared" si="9"/>
        <v>0</v>
      </c>
      <c r="Z20" s="101">
        <f t="shared" si="9"/>
        <v>0</v>
      </c>
      <c r="AA20" s="101">
        <f t="shared" si="9"/>
        <v>0</v>
      </c>
      <c r="AB20" s="101">
        <f t="shared" si="9"/>
        <v>0</v>
      </c>
      <c r="AC20" s="101">
        <f t="shared" si="9"/>
        <v>0</v>
      </c>
      <c r="AD20" s="101">
        <f t="shared" si="9"/>
        <v>0</v>
      </c>
      <c r="AE20" s="101">
        <f t="shared" si="9"/>
        <v>0</v>
      </c>
      <c r="AF20" s="101">
        <f t="shared" si="9"/>
        <v>0</v>
      </c>
      <c r="AG20" s="101">
        <f t="shared" si="9"/>
        <v>0</v>
      </c>
      <c r="AH20" s="101">
        <f t="shared" si="9"/>
        <v>0</v>
      </c>
      <c r="AI20" s="101">
        <f t="shared" si="9"/>
        <v>0</v>
      </c>
      <c r="AJ20" s="101">
        <f t="shared" si="9"/>
        <v>0</v>
      </c>
      <c r="AK20" s="101">
        <f t="shared" ref="AK20:AN20" si="10">SUM(AK17:AK19)</f>
        <v>0</v>
      </c>
      <c r="AL20" s="101">
        <f t="shared" si="10"/>
        <v>0</v>
      </c>
      <c r="AM20" s="101">
        <f t="shared" si="10"/>
        <v>0</v>
      </c>
      <c r="AN20" s="101">
        <f t="shared" si="10"/>
        <v>0</v>
      </c>
      <c r="AO20" s="101">
        <f t="shared" ref="AO20" si="11">SUM(AO17:AO19)</f>
        <v>0</v>
      </c>
    </row>
    <row r="21" spans="2:41" ht="5.0999999999999996" customHeight="1" thickTop="1">
      <c r="B21" s="6"/>
      <c r="C21" s="6"/>
      <c r="D21" s="6"/>
      <c r="E21" s="6"/>
      <c r="F21" s="6"/>
      <c r="G21" s="6"/>
      <c r="H21" s="1"/>
      <c r="I21" s="6"/>
      <c r="J21" s="2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2:41">
      <c r="B22" s="6"/>
      <c r="C22" s="6" t="s">
        <v>73</v>
      </c>
      <c r="D22" s="6"/>
      <c r="E22" s="6"/>
      <c r="F22" s="6"/>
      <c r="G22" s="6"/>
      <c r="H22" s="1"/>
      <c r="I22" s="6"/>
      <c r="J22" s="29">
        <f t="shared" ref="J22:J33" si="12">SUM(L22:AO22)</f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2:41">
      <c r="B23" s="6"/>
      <c r="C23" s="6"/>
      <c r="D23" s="6" t="s">
        <v>91</v>
      </c>
      <c r="E23" s="6"/>
      <c r="F23" s="6"/>
      <c r="G23" s="6"/>
      <c r="H23" s="1" t="s">
        <v>4</v>
      </c>
      <c r="I23" s="6"/>
      <c r="J23" s="29">
        <f t="shared" si="12"/>
        <v>200000</v>
      </c>
      <c r="K23" s="6"/>
      <c r="L23" s="76">
        <f>Источники_Долг_WACC!L9</f>
        <v>100000</v>
      </c>
      <c r="M23" s="76">
        <f>Источники_Долг_WACC!M9</f>
        <v>50000</v>
      </c>
      <c r="N23" s="76">
        <f>Источники_Долг_WACC!N9</f>
        <v>50000</v>
      </c>
      <c r="O23" s="76">
        <f>Источники_Долг_WACC!O9</f>
        <v>0</v>
      </c>
      <c r="P23" s="76">
        <f>Источники_Долг_WACC!P9</f>
        <v>0</v>
      </c>
      <c r="Q23" s="76">
        <f>Источники_Долг_WACC!Q9</f>
        <v>0</v>
      </c>
      <c r="R23" s="76">
        <f>Источники_Долг_WACC!R9</f>
        <v>0</v>
      </c>
      <c r="S23" s="76">
        <f>Источники_Долг_WACC!S9</f>
        <v>0</v>
      </c>
      <c r="T23" s="76">
        <f>Источники_Долг_WACC!T9</f>
        <v>0</v>
      </c>
      <c r="U23" s="76">
        <f>Источники_Долг_WACC!U9</f>
        <v>0</v>
      </c>
      <c r="V23" s="76">
        <f>Источники_Долг_WACC!V9</f>
        <v>0</v>
      </c>
      <c r="W23" s="76">
        <f>Источники_Долг_WACC!W9</f>
        <v>0</v>
      </c>
      <c r="X23" s="76">
        <f>Источники_Долг_WACC!X9</f>
        <v>0</v>
      </c>
      <c r="Y23" s="76">
        <f>Источники_Долг_WACC!Y9</f>
        <v>0</v>
      </c>
      <c r="Z23" s="76">
        <f>Источники_Долг_WACC!Z9</f>
        <v>0</v>
      </c>
      <c r="AA23" s="76">
        <f>Источники_Долг_WACC!AA9</f>
        <v>0</v>
      </c>
      <c r="AB23" s="76">
        <f>Источники_Долг_WACC!AB9</f>
        <v>0</v>
      </c>
      <c r="AC23" s="76">
        <f>Источники_Долг_WACC!AC9</f>
        <v>0</v>
      </c>
      <c r="AD23" s="76">
        <f>Источники_Долг_WACC!AD9</f>
        <v>0</v>
      </c>
      <c r="AE23" s="76">
        <f>Источники_Долг_WACC!AE9</f>
        <v>0</v>
      </c>
      <c r="AF23" s="76">
        <f>Источники_Долг_WACC!AF9</f>
        <v>0</v>
      </c>
      <c r="AG23" s="76">
        <f>Источники_Долг_WACC!AG9</f>
        <v>0</v>
      </c>
      <c r="AH23" s="76">
        <f>Источники_Долг_WACC!AH9</f>
        <v>0</v>
      </c>
      <c r="AI23" s="76">
        <f>Источники_Долг_WACC!AI9</f>
        <v>0</v>
      </c>
      <c r="AJ23" s="76">
        <f>Источники_Долг_WACC!AJ9</f>
        <v>0</v>
      </c>
      <c r="AK23" s="76">
        <f>Источники_Долг_WACC!AK9</f>
        <v>0</v>
      </c>
      <c r="AL23" s="76">
        <f>Источники_Долг_WACC!AL9</f>
        <v>0</v>
      </c>
      <c r="AM23" s="76">
        <f>Источники_Долг_WACC!AM9</f>
        <v>0</v>
      </c>
      <c r="AN23" s="76">
        <f>Источники_Долг_WACC!AN9</f>
        <v>0</v>
      </c>
      <c r="AO23" s="76">
        <f>Источники_Долг_WACC!AO9</f>
        <v>0</v>
      </c>
    </row>
    <row r="24" spans="2:41">
      <c r="B24" s="6"/>
      <c r="C24" s="6"/>
      <c r="D24" s="6" t="s">
        <v>92</v>
      </c>
      <c r="E24" s="6"/>
      <c r="F24" s="6"/>
      <c r="G24" s="6"/>
      <c r="H24" s="1"/>
      <c r="I24" s="6"/>
      <c r="J24" s="29">
        <f t="shared" si="12"/>
        <v>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>
      <c r="B25" s="6"/>
      <c r="C25" s="6"/>
      <c r="D25" s="6"/>
      <c r="E25" s="6" t="s">
        <v>78</v>
      </c>
      <c r="F25" s="6"/>
      <c r="G25" s="6"/>
      <c r="H25" s="1" t="s">
        <v>4</v>
      </c>
      <c r="I25" s="6"/>
      <c r="J25" s="29">
        <f t="shared" si="12"/>
        <v>170000</v>
      </c>
      <c r="K25" s="6"/>
      <c r="L25" s="76">
        <f>Источники_Долг_WACC!L11</f>
        <v>140000</v>
      </c>
      <c r="M25" s="76">
        <f>Источники_Долг_WACC!M11</f>
        <v>30000</v>
      </c>
      <c r="N25" s="76">
        <f>Источники_Долг_WACC!N11</f>
        <v>0</v>
      </c>
      <c r="O25" s="76">
        <f>Источники_Долг_WACC!O11</f>
        <v>0</v>
      </c>
      <c r="P25" s="76">
        <f>Источники_Долг_WACC!P11</f>
        <v>0</v>
      </c>
      <c r="Q25" s="76">
        <f>Источники_Долг_WACC!Q11</f>
        <v>0</v>
      </c>
      <c r="R25" s="76">
        <f>Источники_Долг_WACC!R11</f>
        <v>0</v>
      </c>
      <c r="S25" s="76">
        <f>Источники_Долг_WACC!S11</f>
        <v>0</v>
      </c>
      <c r="T25" s="76">
        <f>Источники_Долг_WACC!T11</f>
        <v>0</v>
      </c>
      <c r="U25" s="76">
        <f>Источники_Долг_WACC!U11</f>
        <v>0</v>
      </c>
      <c r="V25" s="76">
        <f>Источники_Долг_WACC!V11</f>
        <v>0</v>
      </c>
      <c r="W25" s="76">
        <f>Источники_Долг_WACC!W11</f>
        <v>0</v>
      </c>
      <c r="X25" s="76">
        <f>Источники_Долг_WACC!X11</f>
        <v>0</v>
      </c>
      <c r="Y25" s="76">
        <f>Источники_Долг_WACC!Y11</f>
        <v>0</v>
      </c>
      <c r="Z25" s="76">
        <f>Источники_Долг_WACC!Z11</f>
        <v>0</v>
      </c>
      <c r="AA25" s="76">
        <f>Источники_Долг_WACC!AA11</f>
        <v>0</v>
      </c>
      <c r="AB25" s="76">
        <f>Источники_Долг_WACC!AB11</f>
        <v>0</v>
      </c>
      <c r="AC25" s="76">
        <f>Источники_Долг_WACC!AC11</f>
        <v>0</v>
      </c>
      <c r="AD25" s="76">
        <f>Источники_Долг_WACC!AD11</f>
        <v>0</v>
      </c>
      <c r="AE25" s="76">
        <f>Источники_Долг_WACC!AE11</f>
        <v>0</v>
      </c>
      <c r="AF25" s="76">
        <f>Источники_Долг_WACC!AF11</f>
        <v>0</v>
      </c>
      <c r="AG25" s="76">
        <f>Источники_Долг_WACC!AG11</f>
        <v>0</v>
      </c>
      <c r="AH25" s="76">
        <f>Источники_Долг_WACC!AH11</f>
        <v>0</v>
      </c>
      <c r="AI25" s="76">
        <f>Источники_Долг_WACC!AI11</f>
        <v>0</v>
      </c>
      <c r="AJ25" s="76">
        <f>Источники_Долг_WACC!AJ11</f>
        <v>0</v>
      </c>
      <c r="AK25" s="76">
        <f>Источники_Долг_WACC!AK11</f>
        <v>0</v>
      </c>
      <c r="AL25" s="76">
        <f>Источники_Долг_WACC!AL11</f>
        <v>0</v>
      </c>
      <c r="AM25" s="76">
        <f>Источники_Долг_WACC!AM11</f>
        <v>0</v>
      </c>
      <c r="AN25" s="76">
        <f>Источники_Долг_WACC!AN11</f>
        <v>0</v>
      </c>
      <c r="AO25" s="76">
        <f>Источники_Долг_WACC!AO11</f>
        <v>0</v>
      </c>
    </row>
    <row r="26" spans="2:41">
      <c r="B26" s="6"/>
      <c r="C26" s="6"/>
      <c r="D26" s="6"/>
      <c r="E26" s="6" t="s">
        <v>102</v>
      </c>
      <c r="F26" s="6"/>
      <c r="G26" s="6"/>
      <c r="H26" s="1" t="s">
        <v>4</v>
      </c>
      <c r="I26" s="6"/>
      <c r="J26" s="29">
        <f t="shared" si="12"/>
        <v>-170000</v>
      </c>
      <c r="K26" s="6"/>
      <c r="L26" s="76">
        <f>ROUND(Источники_Долг_WACC!L12,0.1)</f>
        <v>0</v>
      </c>
      <c r="M26" s="76">
        <f>ROUND(Источники_Долг_WACC!M12,0.1)</f>
        <v>0</v>
      </c>
      <c r="N26" s="76">
        <f>ROUND(Источники_Долг_WACC!N12,0.1)</f>
        <v>-42500</v>
      </c>
      <c r="O26" s="76">
        <f>ROUND(Источники_Долг_WACC!O12,0.1)</f>
        <v>-42500</v>
      </c>
      <c r="P26" s="76">
        <f>ROUND(Источники_Долг_WACC!P12,0.1)</f>
        <v>-42500</v>
      </c>
      <c r="Q26" s="76">
        <f>ROUND(Источники_Долг_WACC!Q12,0.1)</f>
        <v>-42500</v>
      </c>
      <c r="R26" s="76">
        <f>ROUND(Источники_Долг_WACC!R12,0.1)</f>
        <v>0</v>
      </c>
      <c r="S26" s="76">
        <f>ROUND(Источники_Долг_WACC!S12,0.1)</f>
        <v>0</v>
      </c>
      <c r="T26" s="76">
        <f>ROUND(Источники_Долг_WACC!T12,0.1)</f>
        <v>0</v>
      </c>
      <c r="U26" s="76">
        <f>ROUND(Источники_Долг_WACC!U12,0.1)</f>
        <v>0</v>
      </c>
      <c r="V26" s="76">
        <f>ROUND(Источники_Долг_WACC!V12,0.1)</f>
        <v>0</v>
      </c>
      <c r="W26" s="76">
        <f>ROUND(Источники_Долг_WACC!W12,0.1)</f>
        <v>0</v>
      </c>
      <c r="X26" s="76">
        <f>ROUND(Источники_Долг_WACC!X12,0.1)</f>
        <v>0</v>
      </c>
      <c r="Y26" s="76">
        <f>ROUND(Источники_Долг_WACC!Y12,0.1)</f>
        <v>0</v>
      </c>
      <c r="Z26" s="76">
        <f>ROUND(Источники_Долг_WACC!Z12,0.1)</f>
        <v>0</v>
      </c>
      <c r="AA26" s="76">
        <f>ROUND(Источники_Долг_WACC!AA12,0.1)</f>
        <v>0</v>
      </c>
      <c r="AB26" s="76">
        <f>ROUND(Источники_Долг_WACC!AB12,0.1)</f>
        <v>0</v>
      </c>
      <c r="AC26" s="76">
        <f>ROUND(Источники_Долг_WACC!AC12,0.1)</f>
        <v>0</v>
      </c>
      <c r="AD26" s="76">
        <f>ROUND(Источники_Долг_WACC!AD12,0.1)</f>
        <v>0</v>
      </c>
      <c r="AE26" s="76">
        <f>ROUND(Источники_Долг_WACC!AE12,0.1)</f>
        <v>0</v>
      </c>
      <c r="AF26" s="76">
        <f>ROUND(Источники_Долг_WACC!AF12,0.1)</f>
        <v>0</v>
      </c>
      <c r="AG26" s="76">
        <f>ROUND(Источники_Долг_WACC!AG12,0.1)</f>
        <v>0</v>
      </c>
      <c r="AH26" s="76">
        <f>ROUND(Источники_Долг_WACC!AH12,0.1)</f>
        <v>0</v>
      </c>
      <c r="AI26" s="76">
        <f>ROUND(Источники_Долг_WACC!AI12,0.1)</f>
        <v>0</v>
      </c>
      <c r="AJ26" s="76">
        <f>ROUND(Источники_Долг_WACC!AJ12,0.1)</f>
        <v>0</v>
      </c>
      <c r="AK26" s="76">
        <f>ROUND(Источники_Долг_WACC!AK12,0.1)</f>
        <v>0</v>
      </c>
      <c r="AL26" s="76">
        <f>ROUND(Источники_Долг_WACC!AL12,0.1)</f>
        <v>0</v>
      </c>
      <c r="AM26" s="76">
        <f>ROUND(Источники_Долг_WACC!AM12,0.1)</f>
        <v>0</v>
      </c>
      <c r="AN26" s="76">
        <f>ROUND(Источники_Долг_WACC!AN12,0.1)</f>
        <v>0</v>
      </c>
      <c r="AO26" s="76">
        <f>ROUND(Источники_Долг_WACC!AO12,0.1)</f>
        <v>0</v>
      </c>
    </row>
    <row r="27" spans="2:41">
      <c r="B27" s="6"/>
      <c r="C27" s="6" t="s">
        <v>75</v>
      </c>
      <c r="D27" s="6"/>
      <c r="E27" s="6"/>
      <c r="F27" s="6"/>
      <c r="G27" s="6"/>
      <c r="H27" s="1"/>
      <c r="I27" s="6"/>
      <c r="J27" s="29">
        <f t="shared" si="12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2:41">
      <c r="B28" s="6"/>
      <c r="C28" s="6"/>
      <c r="D28" s="6"/>
      <c r="E28" s="6" t="s">
        <v>78</v>
      </c>
      <c r="F28" s="6"/>
      <c r="G28" s="6"/>
      <c r="H28" s="1" t="s">
        <v>4</v>
      </c>
      <c r="I28" s="6"/>
      <c r="J28" s="29">
        <f t="shared" si="12"/>
        <v>1110000</v>
      </c>
      <c r="K28" s="6"/>
      <c r="L28" s="76">
        <f>Источники_Долг_WACC!L22</f>
        <v>720000</v>
      </c>
      <c r="M28" s="76">
        <f>Источники_Долг_WACC!M22</f>
        <v>240000</v>
      </c>
      <c r="N28" s="76">
        <f>Источники_Долг_WACC!N22</f>
        <v>150000</v>
      </c>
      <c r="O28" s="76">
        <f>Источники_Долг_WACC!O22</f>
        <v>0</v>
      </c>
      <c r="P28" s="76">
        <f>Источники_Долг_WACC!P22</f>
        <v>0</v>
      </c>
      <c r="Q28" s="76">
        <f>Источники_Долг_WACC!Q22</f>
        <v>0</v>
      </c>
      <c r="R28" s="76">
        <f>Источники_Долг_WACC!R22</f>
        <v>0</v>
      </c>
      <c r="S28" s="76">
        <f>Источники_Долг_WACC!S22</f>
        <v>0</v>
      </c>
      <c r="T28" s="76">
        <f>Источники_Долг_WACC!T22</f>
        <v>0</v>
      </c>
      <c r="U28" s="76">
        <f>Источники_Долг_WACC!U22</f>
        <v>0</v>
      </c>
      <c r="V28" s="76">
        <f>Источники_Долг_WACC!V22</f>
        <v>0</v>
      </c>
      <c r="W28" s="76">
        <f>Источники_Долг_WACC!W22</f>
        <v>0</v>
      </c>
      <c r="X28" s="76">
        <f>Источники_Долг_WACC!X22</f>
        <v>0</v>
      </c>
      <c r="Y28" s="76">
        <f>Источники_Долг_WACC!Y22</f>
        <v>0</v>
      </c>
      <c r="Z28" s="76">
        <f>Источники_Долг_WACC!Z22</f>
        <v>0</v>
      </c>
      <c r="AA28" s="76">
        <f>Источники_Долг_WACC!AA22</f>
        <v>0</v>
      </c>
      <c r="AB28" s="76">
        <f>Источники_Долг_WACC!AB22</f>
        <v>0</v>
      </c>
      <c r="AC28" s="76">
        <f>Источники_Долг_WACC!AC22</f>
        <v>0</v>
      </c>
      <c r="AD28" s="76">
        <f>Источники_Долг_WACC!AD22</f>
        <v>0</v>
      </c>
      <c r="AE28" s="76">
        <f>Источники_Долг_WACC!AE22</f>
        <v>0</v>
      </c>
      <c r="AF28" s="76">
        <f>Источники_Долг_WACC!AF22</f>
        <v>0</v>
      </c>
      <c r="AG28" s="76">
        <f>Источники_Долг_WACC!AG22</f>
        <v>0</v>
      </c>
      <c r="AH28" s="76">
        <f>Источники_Долг_WACC!AH22</f>
        <v>0</v>
      </c>
      <c r="AI28" s="76">
        <f>Источники_Долг_WACC!AI22</f>
        <v>0</v>
      </c>
      <c r="AJ28" s="76">
        <f>Источники_Долг_WACC!AJ22</f>
        <v>0</v>
      </c>
      <c r="AK28" s="76">
        <f>Источники_Долг_WACC!AK22</f>
        <v>0</v>
      </c>
      <c r="AL28" s="76">
        <f>Источники_Долг_WACC!AL22</f>
        <v>0</v>
      </c>
      <c r="AM28" s="76">
        <f>Источники_Долг_WACC!AM22</f>
        <v>0</v>
      </c>
      <c r="AN28" s="76">
        <f>Источники_Долг_WACC!AN22</f>
        <v>0</v>
      </c>
      <c r="AO28" s="76">
        <f>Источники_Долг_WACC!AO22</f>
        <v>0</v>
      </c>
    </row>
    <row r="29" spans="2:41">
      <c r="B29" s="6"/>
      <c r="C29" s="6"/>
      <c r="D29" s="6"/>
      <c r="E29" s="6" t="s">
        <v>102</v>
      </c>
      <c r="F29" s="6"/>
      <c r="G29" s="6"/>
      <c r="H29" s="1" t="s">
        <v>4</v>
      </c>
      <c r="I29" s="6"/>
      <c r="J29" s="29">
        <f t="shared" si="12"/>
        <v>-1110000.0000000005</v>
      </c>
      <c r="K29" s="6"/>
      <c r="L29" s="76">
        <f>Источники_Долг_WACC!L23</f>
        <v>0</v>
      </c>
      <c r="M29" s="76">
        <f>Источники_Долг_WACC!M23</f>
        <v>0</v>
      </c>
      <c r="N29" s="76">
        <f>Источники_Долг_WACC!N23</f>
        <v>0</v>
      </c>
      <c r="O29" s="76">
        <f>Источники_Долг_WACC!O23</f>
        <v>0</v>
      </c>
      <c r="P29" s="76">
        <f>Источники_Долг_WACC!P23</f>
        <v>-56215.762445082597</v>
      </c>
      <c r="Q29" s="76">
        <f>Источники_Долг_WACC!Q23</f>
        <v>-78837.556903673394</v>
      </c>
      <c r="R29" s="76">
        <f>Источники_Долг_WACC!R23</f>
        <v>-95967.762163499094</v>
      </c>
      <c r="S29" s="76">
        <f>Источники_Долг_WACC!S23</f>
        <v>-98846.795028404071</v>
      </c>
      <c r="T29" s="76">
        <f>Источники_Долг_WACC!T23</f>
        <v>-101812.1988792562</v>
      </c>
      <c r="U29" s="76">
        <f>Источники_Долг_WACC!U23</f>
        <v>-104866.56484563387</v>
      </c>
      <c r="V29" s="76">
        <f>Источники_Долг_WACC!V23</f>
        <v>-108012.5617910029</v>
      </c>
      <c r="W29" s="76">
        <f>Источники_Долг_WACC!W23</f>
        <v>-111252.93864473297</v>
      </c>
      <c r="X29" s="76">
        <f>Источники_Долг_WACC!X23</f>
        <v>-114590.52680407497</v>
      </c>
      <c r="Y29" s="76">
        <f>Источники_Долг_WACC!Y23</f>
        <v>-118028.24260819722</v>
      </c>
      <c r="Z29" s="76">
        <f>Источники_Долг_WACC!Z23</f>
        <v>-121569.08988644314</v>
      </c>
      <c r="AA29" s="76">
        <f>Источники_Долг_WACC!AA23</f>
        <v>0</v>
      </c>
      <c r="AB29" s="76">
        <f>Источники_Долг_WACC!AB23</f>
        <v>0</v>
      </c>
      <c r="AC29" s="76">
        <f>Источники_Долг_WACC!AC23</f>
        <v>0</v>
      </c>
      <c r="AD29" s="76">
        <f>Источники_Долг_WACC!AD23</f>
        <v>0</v>
      </c>
      <c r="AE29" s="76">
        <f>Источники_Долг_WACC!AE23</f>
        <v>0</v>
      </c>
      <c r="AF29" s="76">
        <f>Источники_Долг_WACC!AF23</f>
        <v>0</v>
      </c>
      <c r="AG29" s="76">
        <f>Источники_Долг_WACC!AG23</f>
        <v>0</v>
      </c>
      <c r="AH29" s="76">
        <f>Источники_Долг_WACC!AH23</f>
        <v>0</v>
      </c>
      <c r="AI29" s="76">
        <f>Источники_Долг_WACC!AI23</f>
        <v>0</v>
      </c>
      <c r="AJ29" s="76">
        <f>Источники_Долг_WACC!AJ23</f>
        <v>0</v>
      </c>
      <c r="AK29" s="76">
        <f>Источники_Долг_WACC!AK23</f>
        <v>0</v>
      </c>
      <c r="AL29" s="76">
        <f>Источники_Долг_WACC!AL23</f>
        <v>0</v>
      </c>
      <c r="AM29" s="76">
        <f>Источники_Долг_WACC!AM23</f>
        <v>0</v>
      </c>
      <c r="AN29" s="76">
        <f>Источники_Долг_WACC!AN23</f>
        <v>0</v>
      </c>
      <c r="AO29" s="76">
        <f>Источники_Долг_WACC!AO23</f>
        <v>0</v>
      </c>
    </row>
    <row r="30" spans="2:41">
      <c r="B30" s="6"/>
      <c r="C30" s="6" t="s">
        <v>76</v>
      </c>
      <c r="D30" s="6"/>
      <c r="E30" s="6"/>
      <c r="F30" s="6"/>
      <c r="G30" s="6"/>
      <c r="H30" s="1"/>
      <c r="I30" s="6"/>
      <c r="J30" s="29">
        <f t="shared" si="12"/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2:41">
      <c r="B31" s="6"/>
      <c r="C31" s="6"/>
      <c r="D31" s="6"/>
      <c r="E31" s="6" t="s">
        <v>78</v>
      </c>
      <c r="F31" s="6"/>
      <c r="G31" s="6"/>
      <c r="H31" s="1" t="s">
        <v>4</v>
      </c>
      <c r="I31" s="6"/>
      <c r="J31" s="29">
        <f t="shared" si="12"/>
        <v>185000</v>
      </c>
      <c r="K31" s="6"/>
      <c r="L31" s="76">
        <f>Источники_Долг_WACC!L70</f>
        <v>120000</v>
      </c>
      <c r="M31" s="76">
        <f>Источники_Долг_WACC!M70</f>
        <v>40000</v>
      </c>
      <c r="N31" s="76">
        <f>Источники_Долг_WACC!N70</f>
        <v>25000</v>
      </c>
      <c r="O31" s="76">
        <f>Источники_Долг_WACC!O70</f>
        <v>0</v>
      </c>
      <c r="P31" s="76">
        <f>Источники_Долг_WACC!P70</f>
        <v>0</v>
      </c>
      <c r="Q31" s="76">
        <f>Источники_Долг_WACC!Q70</f>
        <v>0</v>
      </c>
      <c r="R31" s="76">
        <f>Источники_Долг_WACC!R70</f>
        <v>0</v>
      </c>
      <c r="S31" s="76">
        <f>Источники_Долг_WACC!S70</f>
        <v>0</v>
      </c>
      <c r="T31" s="76">
        <f>Источники_Долг_WACC!T70</f>
        <v>0</v>
      </c>
      <c r="U31" s="76">
        <f>Источники_Долг_WACC!U70</f>
        <v>0</v>
      </c>
      <c r="V31" s="76">
        <f>Источники_Долг_WACC!V70</f>
        <v>0</v>
      </c>
      <c r="W31" s="76">
        <f>Источники_Долг_WACC!W70</f>
        <v>0</v>
      </c>
      <c r="X31" s="76">
        <f>Источники_Долг_WACC!X70</f>
        <v>0</v>
      </c>
      <c r="Y31" s="76">
        <f>Источники_Долг_WACC!Y70</f>
        <v>0</v>
      </c>
      <c r="Z31" s="76">
        <f>Источники_Долг_WACC!Z70</f>
        <v>0</v>
      </c>
      <c r="AA31" s="76">
        <f>Источники_Долг_WACC!AA70</f>
        <v>0</v>
      </c>
      <c r="AB31" s="76">
        <f>Источники_Долг_WACC!AB70</f>
        <v>0</v>
      </c>
      <c r="AC31" s="76">
        <f>Источники_Долг_WACC!AC70</f>
        <v>0</v>
      </c>
      <c r="AD31" s="76">
        <f>Источники_Долг_WACC!AD70</f>
        <v>0</v>
      </c>
      <c r="AE31" s="76">
        <f>Источники_Долг_WACC!AE70</f>
        <v>0</v>
      </c>
      <c r="AF31" s="76">
        <f>Источники_Долг_WACC!AF70</f>
        <v>0</v>
      </c>
      <c r="AG31" s="76">
        <f>Источники_Долг_WACC!AG70</f>
        <v>0</v>
      </c>
      <c r="AH31" s="76">
        <f>Источники_Долг_WACC!AH70</f>
        <v>0</v>
      </c>
      <c r="AI31" s="76">
        <f>Источники_Долг_WACC!AI70</f>
        <v>0</v>
      </c>
      <c r="AJ31" s="76">
        <f>Источники_Долг_WACC!AJ70</f>
        <v>0</v>
      </c>
      <c r="AK31" s="76">
        <f>Источники_Долг_WACC!AK70</f>
        <v>0</v>
      </c>
      <c r="AL31" s="76">
        <f>Источники_Долг_WACC!AL70</f>
        <v>0</v>
      </c>
      <c r="AM31" s="76">
        <f>Источники_Долг_WACC!AM70</f>
        <v>0</v>
      </c>
      <c r="AN31" s="76">
        <f>Источники_Долг_WACC!AN70</f>
        <v>0</v>
      </c>
      <c r="AO31" s="76">
        <f>Источники_Долг_WACC!AO70</f>
        <v>0</v>
      </c>
    </row>
    <row r="32" spans="2:41">
      <c r="B32" s="6"/>
      <c r="C32" s="6"/>
      <c r="D32" s="6"/>
      <c r="E32" s="6" t="s">
        <v>102</v>
      </c>
      <c r="F32" s="6"/>
      <c r="G32" s="6"/>
      <c r="H32" s="1" t="s">
        <v>4</v>
      </c>
      <c r="I32" s="6"/>
      <c r="J32" s="29">
        <f t="shared" si="12"/>
        <v>-185000</v>
      </c>
      <c r="K32" s="6"/>
      <c r="L32" s="76">
        <f>Источники_Долг_WACC!L71</f>
        <v>0</v>
      </c>
      <c r="M32" s="76">
        <f>Источники_Долг_WACC!M71</f>
        <v>-37000</v>
      </c>
      <c r="N32" s="76">
        <f>Источники_Долг_WACC!N71</f>
        <v>-37000</v>
      </c>
      <c r="O32" s="76">
        <f>Источники_Долг_WACC!O71</f>
        <v>-37000</v>
      </c>
      <c r="P32" s="76">
        <f>Источники_Долг_WACC!P71</f>
        <v>-37000</v>
      </c>
      <c r="Q32" s="76">
        <f>Источники_Долг_WACC!Q71</f>
        <v>-37000</v>
      </c>
      <c r="R32" s="76">
        <f>Источники_Долг_WACC!R71</f>
        <v>0</v>
      </c>
      <c r="S32" s="76">
        <f>Источники_Долг_WACC!S71</f>
        <v>0</v>
      </c>
      <c r="T32" s="76">
        <f>Источники_Долг_WACC!T71</f>
        <v>0</v>
      </c>
      <c r="U32" s="76">
        <f>Источники_Долг_WACC!U71</f>
        <v>0</v>
      </c>
      <c r="V32" s="76">
        <f>Источники_Долг_WACC!V71</f>
        <v>0</v>
      </c>
      <c r="W32" s="76">
        <f>Источники_Долг_WACC!W71</f>
        <v>0</v>
      </c>
      <c r="X32" s="76">
        <f>Источники_Долг_WACC!X71</f>
        <v>0</v>
      </c>
      <c r="Y32" s="76">
        <f>Источники_Долг_WACC!Y71</f>
        <v>0</v>
      </c>
      <c r="Z32" s="76">
        <f>Источники_Долг_WACC!Z71</f>
        <v>0</v>
      </c>
      <c r="AA32" s="76">
        <f>Источники_Долг_WACC!AA71</f>
        <v>0</v>
      </c>
      <c r="AB32" s="76">
        <f>Источники_Долг_WACC!AB71</f>
        <v>0</v>
      </c>
      <c r="AC32" s="76">
        <f>Источники_Долг_WACC!AC71</f>
        <v>0</v>
      </c>
      <c r="AD32" s="76">
        <f>Источники_Долг_WACC!AD71</f>
        <v>0</v>
      </c>
      <c r="AE32" s="76">
        <f>Источники_Долг_WACC!AE71</f>
        <v>0</v>
      </c>
      <c r="AF32" s="76">
        <f>Источники_Долг_WACC!AF71</f>
        <v>0</v>
      </c>
      <c r="AG32" s="76">
        <f>Источники_Долг_WACC!AG71</f>
        <v>0</v>
      </c>
      <c r="AH32" s="76">
        <f>Источники_Долг_WACC!AH71</f>
        <v>0</v>
      </c>
      <c r="AI32" s="76">
        <f>Источники_Долг_WACC!AI71</f>
        <v>0</v>
      </c>
      <c r="AJ32" s="76">
        <f>Источники_Долг_WACC!AJ71</f>
        <v>0</v>
      </c>
      <c r="AK32" s="76">
        <f>Источники_Долг_WACC!AK71</f>
        <v>0</v>
      </c>
      <c r="AL32" s="76">
        <f>Источники_Долг_WACC!AL71</f>
        <v>0</v>
      </c>
      <c r="AM32" s="76">
        <f>Источники_Долг_WACC!AM71</f>
        <v>0</v>
      </c>
      <c r="AN32" s="76">
        <f>Источники_Долг_WACC!AN71</f>
        <v>0</v>
      </c>
      <c r="AO32" s="76">
        <f>Источники_Долг_WACC!AO71</f>
        <v>0</v>
      </c>
    </row>
    <row r="33" spans="2:41" ht="13.5" thickBot="1">
      <c r="B33" s="21" t="s">
        <v>103</v>
      </c>
      <c r="C33" s="21"/>
      <c r="D33" s="21"/>
      <c r="E33" s="21"/>
      <c r="F33" s="21"/>
      <c r="G33" s="21"/>
      <c r="H33" s="22" t="s">
        <v>4</v>
      </c>
      <c r="I33" s="21"/>
      <c r="J33" s="30">
        <f t="shared" si="12"/>
        <v>199999.99999999956</v>
      </c>
      <c r="K33" s="21"/>
      <c r="L33" s="101">
        <f t="shared" ref="L33:AJ33" si="13">SUM(L22:L32)</f>
        <v>1080000</v>
      </c>
      <c r="M33" s="101">
        <f t="shared" si="13"/>
        <v>323000</v>
      </c>
      <c r="N33" s="101">
        <f t="shared" si="13"/>
        <v>145500</v>
      </c>
      <c r="O33" s="101">
        <f t="shared" si="13"/>
        <v>-79500</v>
      </c>
      <c r="P33" s="101">
        <f t="shared" si="13"/>
        <v>-135715.7624450826</v>
      </c>
      <c r="Q33" s="101">
        <f t="shared" si="13"/>
        <v>-158337.55690367339</v>
      </c>
      <c r="R33" s="101">
        <f t="shared" si="13"/>
        <v>-95967.762163499094</v>
      </c>
      <c r="S33" s="101">
        <f t="shared" si="13"/>
        <v>-98846.795028404071</v>
      </c>
      <c r="T33" s="101">
        <f t="shared" si="13"/>
        <v>-101812.1988792562</v>
      </c>
      <c r="U33" s="101">
        <f t="shared" si="13"/>
        <v>-104866.56484563387</v>
      </c>
      <c r="V33" s="101">
        <f t="shared" si="13"/>
        <v>-108012.5617910029</v>
      </c>
      <c r="W33" s="101">
        <f t="shared" si="13"/>
        <v>-111252.93864473297</v>
      </c>
      <c r="X33" s="101">
        <f t="shared" si="13"/>
        <v>-114590.52680407497</v>
      </c>
      <c r="Y33" s="101">
        <f t="shared" si="13"/>
        <v>-118028.24260819722</v>
      </c>
      <c r="Z33" s="101">
        <f t="shared" si="13"/>
        <v>-121569.08988644314</v>
      </c>
      <c r="AA33" s="101">
        <f t="shared" si="13"/>
        <v>0</v>
      </c>
      <c r="AB33" s="101">
        <f t="shared" si="13"/>
        <v>0</v>
      </c>
      <c r="AC33" s="101">
        <f t="shared" si="13"/>
        <v>0</v>
      </c>
      <c r="AD33" s="101">
        <f t="shared" si="13"/>
        <v>0</v>
      </c>
      <c r="AE33" s="101">
        <f t="shared" si="13"/>
        <v>0</v>
      </c>
      <c r="AF33" s="101">
        <f t="shared" si="13"/>
        <v>0</v>
      </c>
      <c r="AG33" s="101">
        <f t="shared" si="13"/>
        <v>0</v>
      </c>
      <c r="AH33" s="101">
        <f t="shared" si="13"/>
        <v>0</v>
      </c>
      <c r="AI33" s="101">
        <f t="shared" si="13"/>
        <v>0</v>
      </c>
      <c r="AJ33" s="101">
        <f t="shared" si="13"/>
        <v>0</v>
      </c>
      <c r="AK33" s="101">
        <f t="shared" ref="AK33:AN33" si="14">SUM(AK22:AK32)</f>
        <v>0</v>
      </c>
      <c r="AL33" s="101">
        <f t="shared" si="14"/>
        <v>0</v>
      </c>
      <c r="AM33" s="101">
        <f t="shared" si="14"/>
        <v>0</v>
      </c>
      <c r="AN33" s="101">
        <f t="shared" si="14"/>
        <v>0</v>
      </c>
      <c r="AO33" s="101">
        <f t="shared" ref="AO33" si="15">SUM(AO22:AO32)</f>
        <v>0</v>
      </c>
    </row>
    <row r="34" spans="2:41" ht="5.0999999999999996" customHeight="1" thickTop="1">
      <c r="B34" s="6"/>
      <c r="C34" s="6"/>
      <c r="D34" s="6"/>
      <c r="E34" s="6"/>
      <c r="F34" s="6"/>
      <c r="G34" s="6"/>
      <c r="H34" s="1"/>
      <c r="I34" s="6"/>
      <c r="J34" s="2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2:41">
      <c r="B35" s="6" t="s">
        <v>108</v>
      </c>
      <c r="C35" s="6"/>
      <c r="D35" s="6"/>
      <c r="E35" s="6"/>
      <c r="F35" s="6"/>
      <c r="G35" s="6"/>
      <c r="H35" s="1" t="s">
        <v>4</v>
      </c>
      <c r="I35" s="6"/>
      <c r="J35" s="29">
        <f>SUM(L35:AO35)</f>
        <v>3992071.7383526862</v>
      </c>
      <c r="K35" s="6"/>
      <c r="L35" s="76">
        <f>L15-SUM(L9:L11)+L23+L25+L20+L28+L31</f>
        <v>176266.66666666674</v>
      </c>
      <c r="M35" s="76">
        <f t="shared" ref="M35:AO35" si="16">M15-SUM(M9:M11)+M23+M25+M20+M28+M31</f>
        <v>348205.50000000006</v>
      </c>
      <c r="N35" s="76">
        <f t="shared" si="16"/>
        <v>250146.00000000009</v>
      </c>
      <c r="O35" s="76">
        <f t="shared" si="16"/>
        <v>252085.91333333339</v>
      </c>
      <c r="P35" s="76">
        <f t="shared" si="16"/>
        <v>225392.00786666677</v>
      </c>
      <c r="Q35" s="76">
        <f t="shared" si="16"/>
        <v>232138.99198800008</v>
      </c>
      <c r="R35" s="76">
        <f t="shared" si="16"/>
        <v>239864.24800038675</v>
      </c>
      <c r="S35" s="76">
        <f t="shared" si="16"/>
        <v>248641.52628225484</v>
      </c>
      <c r="T35" s="76">
        <f t="shared" si="16"/>
        <v>257788.89357620332</v>
      </c>
      <c r="U35" s="76">
        <f t="shared" si="16"/>
        <v>267321.51543583703</v>
      </c>
      <c r="V35" s="76">
        <f t="shared" si="16"/>
        <v>277255.1595279334</v>
      </c>
      <c r="W35" s="76">
        <f t="shared" si="16"/>
        <v>287606.21982166247</v>
      </c>
      <c r="X35" s="76">
        <f t="shared" si="16"/>
        <v>298391.76169771317</v>
      </c>
      <c r="Y35" s="76">
        <f t="shared" si="16"/>
        <v>309629.48801135569</v>
      </c>
      <c r="Z35" s="76">
        <f t="shared" si="16"/>
        <v>321337.84614467266</v>
      </c>
      <c r="AA35" s="76">
        <f t="shared" si="16"/>
        <v>0</v>
      </c>
      <c r="AB35" s="76">
        <f t="shared" si="16"/>
        <v>0</v>
      </c>
      <c r="AC35" s="76">
        <f t="shared" si="16"/>
        <v>0</v>
      </c>
      <c r="AD35" s="76">
        <f t="shared" si="16"/>
        <v>0</v>
      </c>
      <c r="AE35" s="76">
        <f t="shared" si="16"/>
        <v>0</v>
      </c>
      <c r="AF35" s="76">
        <f t="shared" si="16"/>
        <v>0</v>
      </c>
      <c r="AG35" s="76">
        <f t="shared" si="16"/>
        <v>0</v>
      </c>
      <c r="AH35" s="76">
        <f t="shared" si="16"/>
        <v>0</v>
      </c>
      <c r="AI35" s="76">
        <f t="shared" si="16"/>
        <v>0</v>
      </c>
      <c r="AJ35" s="76">
        <f t="shared" si="16"/>
        <v>0</v>
      </c>
      <c r="AK35" s="76">
        <f t="shared" si="16"/>
        <v>0</v>
      </c>
      <c r="AL35" s="76">
        <f t="shared" si="16"/>
        <v>0</v>
      </c>
      <c r="AM35" s="76">
        <f t="shared" si="16"/>
        <v>0</v>
      </c>
      <c r="AN35" s="76">
        <f t="shared" si="16"/>
        <v>0</v>
      </c>
      <c r="AO35" s="76">
        <f t="shared" si="16"/>
        <v>0</v>
      </c>
    </row>
    <row r="36" spans="2:41">
      <c r="B36" s="6" t="s">
        <v>109</v>
      </c>
      <c r="C36" s="6"/>
      <c r="D36" s="6"/>
      <c r="E36" s="6"/>
      <c r="F36" s="6"/>
      <c r="G36" s="6"/>
      <c r="H36" s="1" t="s">
        <v>4</v>
      </c>
      <c r="I36" s="6"/>
      <c r="J36" s="29">
        <f>SUM(L36:AO36)</f>
        <v>-1866737.4000000004</v>
      </c>
      <c r="K36" s="6"/>
      <c r="L36" s="76">
        <f t="shared" ref="L36:AO36" si="17">L26+L29+L32+SUM(L9:L11)</f>
        <v>-28000</v>
      </c>
      <c r="M36" s="76">
        <f t="shared" si="17"/>
        <v>-88027.5</v>
      </c>
      <c r="N36" s="76">
        <f t="shared" si="17"/>
        <v>-135370</v>
      </c>
      <c r="O36" s="76">
        <f t="shared" si="17"/>
        <v>-131287.5</v>
      </c>
      <c r="P36" s="76">
        <f t="shared" si="17"/>
        <v>-179265.06244508259</v>
      </c>
      <c r="Q36" s="76">
        <f t="shared" si="17"/>
        <v>-192466.05690367339</v>
      </c>
      <c r="R36" s="76">
        <f t="shared" si="17"/>
        <v>-123776.6621634991</v>
      </c>
      <c r="S36" s="76">
        <f t="shared" si="17"/>
        <v>-123733.49502840407</v>
      </c>
      <c r="T36" s="76">
        <f t="shared" si="17"/>
        <v>-123688.99887925621</v>
      </c>
      <c r="U36" s="76">
        <f t="shared" si="17"/>
        <v>-123643.16484563387</v>
      </c>
      <c r="V36" s="76">
        <f t="shared" si="17"/>
        <v>-123595.96179100289</v>
      </c>
      <c r="W36" s="76">
        <f t="shared" si="17"/>
        <v>-123547.33864473297</v>
      </c>
      <c r="X36" s="76">
        <f t="shared" si="17"/>
        <v>-123497.32680407497</v>
      </c>
      <c r="Y36" s="76">
        <f t="shared" si="17"/>
        <v>-123445.74260819722</v>
      </c>
      <c r="Z36" s="76">
        <f t="shared" si="17"/>
        <v>-123392.58988644314</v>
      </c>
      <c r="AA36" s="76">
        <f t="shared" si="17"/>
        <v>0</v>
      </c>
      <c r="AB36" s="76">
        <f t="shared" si="17"/>
        <v>0</v>
      </c>
      <c r="AC36" s="76">
        <f t="shared" si="17"/>
        <v>0</v>
      </c>
      <c r="AD36" s="76">
        <f t="shared" si="17"/>
        <v>0</v>
      </c>
      <c r="AE36" s="76">
        <f t="shared" si="17"/>
        <v>0</v>
      </c>
      <c r="AF36" s="76">
        <f t="shared" si="17"/>
        <v>0</v>
      </c>
      <c r="AG36" s="76">
        <f t="shared" si="17"/>
        <v>0</v>
      </c>
      <c r="AH36" s="76">
        <f t="shared" si="17"/>
        <v>0</v>
      </c>
      <c r="AI36" s="76">
        <f t="shared" si="17"/>
        <v>0</v>
      </c>
      <c r="AJ36" s="76">
        <f t="shared" si="17"/>
        <v>0</v>
      </c>
      <c r="AK36" s="76">
        <f t="shared" si="17"/>
        <v>0</v>
      </c>
      <c r="AL36" s="76">
        <f t="shared" si="17"/>
        <v>0</v>
      </c>
      <c r="AM36" s="76">
        <f t="shared" si="17"/>
        <v>0</v>
      </c>
      <c r="AN36" s="76">
        <f t="shared" si="17"/>
        <v>0</v>
      </c>
      <c r="AO36" s="76">
        <f t="shared" si="17"/>
        <v>0</v>
      </c>
    </row>
    <row r="37" spans="2:41" s="95" customFormat="1">
      <c r="B37" s="58" t="s">
        <v>110</v>
      </c>
      <c r="C37" s="58"/>
      <c r="D37" s="58"/>
      <c r="E37" s="58"/>
      <c r="F37" s="58"/>
      <c r="G37" s="58"/>
      <c r="H37" s="1" t="s">
        <v>122</v>
      </c>
      <c r="I37" s="58"/>
      <c r="J37" s="58"/>
      <c r="K37" s="58"/>
      <c r="L37" s="58">
        <f t="shared" ref="L37" si="18">IF(L36&lt;&gt;0,-L35/L36,"долга нет")</f>
        <v>6.2952380952380977</v>
      </c>
      <c r="M37" s="58">
        <f t="shared" ref="M37" si="19">IF(M36&lt;&gt;0,-M35/M36,"долга нет")</f>
        <v>3.9556445428985265</v>
      </c>
      <c r="N37" s="58">
        <f t="shared" ref="N37" si="20">IF(N36&lt;&gt;0,-N35/N36,"долга нет")</f>
        <v>1.8478688040186162</v>
      </c>
      <c r="O37" s="58">
        <f t="shared" ref="O37" si="21">IF(O36&lt;&gt;0,-O35/O36,"долга нет")</f>
        <v>1.9201059760703296</v>
      </c>
      <c r="P37" s="58">
        <f t="shared" ref="P37:Q37" si="22">IF(P36&lt;&gt;0,-P35/P36,"долга нет")</f>
        <v>1.2573114068767028</v>
      </c>
      <c r="Q37" s="58">
        <f t="shared" si="22"/>
        <v>1.2061295156276957</v>
      </c>
      <c r="R37" s="58">
        <f t="shared" ref="R37" si="23">IF(R36&lt;&gt;0,-R35/R36,"долга нет")</f>
        <v>1.9378794338753875</v>
      </c>
      <c r="S37" s="58">
        <f t="shared" ref="S37" si="24">IF(S36&lt;&gt;0,-S35/S36,"долга нет")</f>
        <v>2.0094924678655288</v>
      </c>
      <c r="T37" s="58">
        <f t="shared" ref="T37" si="25">IF(T36&lt;&gt;0,-T35/T36,"долга нет")</f>
        <v>2.0841699416441548</v>
      </c>
      <c r="U37" s="58">
        <f t="shared" ref="U37" si="26">IF(U36&lt;&gt;0,-U35/U36,"долга нет")</f>
        <v>2.1620403826574872</v>
      </c>
      <c r="V37" s="58">
        <f t="shared" ref="V37" si="27">IF(V36&lt;&gt;0,-V35/V36,"долга нет")</f>
        <v>2.2432380112609476</v>
      </c>
      <c r="W37" s="58">
        <f t="shared" ref="W37" si="28">IF(W36&lt;&gt;0,-W35/W36,"долга нет")</f>
        <v>2.3279029963461184</v>
      </c>
      <c r="X37" s="58">
        <f t="shared" ref="X37" si="29">IF(X36&lt;&gt;0,-X35/X36,"долга нет")</f>
        <v>2.416179924048909</v>
      </c>
      <c r="Y37" s="58">
        <f t="shared" ref="Y37" si="30">IF(Y36&lt;&gt;0,-Y35/Y36,"долга нет")</f>
        <v>2.5082233009370323</v>
      </c>
      <c r="Z37" s="58">
        <f t="shared" ref="Z37" si="31">IF(Z36&lt;&gt;0,-Z35/Z36,"долга нет")</f>
        <v>2.6041907900660517</v>
      </c>
      <c r="AA37" s="58" t="str">
        <f>IF(AA36&lt;&gt;0,-AA35/AA36,"долга нет")</f>
        <v>долга нет</v>
      </c>
      <c r="AB37" s="58" t="str">
        <f t="shared" ref="AB37:AJ37" si="32">IF(AB36&lt;&gt;0,-AB35/AB36,"долга нет")</f>
        <v>долга нет</v>
      </c>
      <c r="AC37" s="58" t="str">
        <f t="shared" si="32"/>
        <v>долга нет</v>
      </c>
      <c r="AD37" s="58" t="str">
        <f t="shared" si="32"/>
        <v>долга нет</v>
      </c>
      <c r="AE37" s="58" t="str">
        <f t="shared" si="32"/>
        <v>долга нет</v>
      </c>
      <c r="AF37" s="58" t="str">
        <f t="shared" si="32"/>
        <v>долга нет</v>
      </c>
      <c r="AG37" s="58" t="str">
        <f t="shared" si="32"/>
        <v>долга нет</v>
      </c>
      <c r="AH37" s="58" t="str">
        <f t="shared" si="32"/>
        <v>долга нет</v>
      </c>
      <c r="AI37" s="58" t="str">
        <f t="shared" si="32"/>
        <v>долга нет</v>
      </c>
      <c r="AJ37" s="58" t="str">
        <f t="shared" si="32"/>
        <v>долга нет</v>
      </c>
      <c r="AK37" s="58" t="str">
        <f t="shared" ref="AK37" si="33">IF(AK36&lt;&gt;0,-AK35/AK36,"долга нет")</f>
        <v>долга нет</v>
      </c>
      <c r="AL37" s="58" t="str">
        <f t="shared" ref="AL37" si="34">IF(AL36&lt;&gt;0,-AL35/AL36,"долга нет")</f>
        <v>долга нет</v>
      </c>
      <c r="AM37" s="58" t="str">
        <f t="shared" ref="AM37" si="35">IF(AM36&lt;&gt;0,-AM35/AM36,"долга нет")</f>
        <v>долга нет</v>
      </c>
      <c r="AN37" s="58" t="str">
        <f t="shared" ref="AN37:AO37" si="36">IF(AN36&lt;&gt;0,-AN35/AN36,"долга нет")</f>
        <v>долга нет</v>
      </c>
      <c r="AO37" s="58" t="str">
        <f t="shared" si="36"/>
        <v>долга нет</v>
      </c>
    </row>
    <row r="38" spans="2:41" ht="5.0999999999999996" customHeight="1">
      <c r="B38" s="6"/>
      <c r="C38" s="6"/>
      <c r="D38" s="6"/>
      <c r="E38" s="6"/>
      <c r="F38" s="6"/>
      <c r="G38" s="6"/>
      <c r="H38" s="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2:41">
      <c r="B39" s="6" t="s">
        <v>114</v>
      </c>
      <c r="C39" s="6"/>
      <c r="D39" s="6"/>
      <c r="E39" s="6"/>
      <c r="F39" s="6"/>
      <c r="G39" s="6"/>
      <c r="H39" s="1" t="s">
        <v>8</v>
      </c>
      <c r="I39" s="6"/>
      <c r="J39" s="88">
        <f>Источники_Долг_WACC!J96</f>
        <v>4.5068259385665527E-2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>
      <c r="B40" s="6" t="s">
        <v>112</v>
      </c>
      <c r="C40" s="6"/>
      <c r="D40" s="6"/>
      <c r="E40" s="6"/>
      <c r="F40" s="6"/>
      <c r="G40" s="6"/>
      <c r="H40" s="1" t="s">
        <v>122</v>
      </c>
      <c r="I40" s="6"/>
      <c r="J40" s="88"/>
      <c r="K40" s="6"/>
      <c r="L40" s="96">
        <f t="shared" ref="L40:AO40" si="37">1/(1+$J$39)^(L1-$L$1)</f>
        <v>1</v>
      </c>
      <c r="M40" s="96">
        <f t="shared" si="37"/>
        <v>0.95687529596185561</v>
      </c>
      <c r="N40" s="96">
        <f t="shared" si="37"/>
        <v>0.91561033202208886</v>
      </c>
      <c r="O40" s="96">
        <f t="shared" si="37"/>
        <v>0.87612490743936933</v>
      </c>
      <c r="P40" s="96">
        <f t="shared" si="37"/>
        <v>0.83834228010559986</v>
      </c>
      <c r="Q40" s="96">
        <f t="shared" si="37"/>
        <v>0.80218901739338266</v>
      </c>
      <c r="R40" s="96">
        <f t="shared" si="37"/>
        <v>0.76759485343564327</v>
      </c>
      <c r="S40" s="96">
        <f t="shared" si="37"/>
        <v>0.73449255256002843</v>
      </c>
      <c r="T40" s="96">
        <f t="shared" si="37"/>
        <v>0.70281777861265593</v>
      </c>
      <c r="U40" s="96">
        <f t="shared" si="37"/>
        <v>0.67250896991723907</v>
      </c>
      <c r="V40" s="96">
        <f t="shared" si="37"/>
        <v>0.64350721962656088</v>
      </c>
      <c r="W40" s="96">
        <f t="shared" si="37"/>
        <v>0.61575616123375632</v>
      </c>
      <c r="X40" s="96">
        <f t="shared" si="37"/>
        <v>0.58920185902088662</v>
      </c>
      <c r="Y40" s="96">
        <f t="shared" si="37"/>
        <v>0.56379270323188646</v>
      </c>
      <c r="Z40" s="96">
        <f t="shared" si="37"/>
        <v>0.53947930976614611</v>
      </c>
      <c r="AA40" s="96">
        <f t="shared" si="37"/>
        <v>0.51621442419777863</v>
      </c>
      <c r="AB40" s="96">
        <f t="shared" si="37"/>
        <v>0.49395282993402834</v>
      </c>
      <c r="AC40" s="96">
        <f t="shared" si="37"/>
        <v>0.47265126033431948</v>
      </c>
      <c r="AD40" s="96">
        <f t="shared" si="37"/>
        <v>0.45226831461914607</v>
      </c>
      <c r="AE40" s="96">
        <f t="shared" si="37"/>
        <v>0.43276437740536511</v>
      </c>
      <c r="AF40" s="96">
        <f t="shared" si="37"/>
        <v>0.41410154171150687</v>
      </c>
      <c r="AG40" s="96">
        <f t="shared" si="37"/>
        <v>0.39624353528345879</v>
      </c>
      <c r="AH40" s="96">
        <f t="shared" si="37"/>
        <v>0.37915565009733165</v>
      </c>
      <c r="AI40" s="96">
        <f t="shared" si="37"/>
        <v>0.36280467490249407</v>
      </c>
      <c r="AJ40" s="96">
        <f t="shared" si="37"/>
        <v>0.34715883067366882</v>
      </c>
      <c r="AK40" s="96">
        <f t="shared" si="37"/>
        <v>0.33218770884663856</v>
      </c>
      <c r="AL40" s="96">
        <f t="shared" si="37"/>
        <v>0.31786221221751804</v>
      </c>
      <c r="AM40" s="96">
        <f t="shared" si="37"/>
        <v>0.30415449839072778</v>
      </c>
      <c r="AN40" s="96">
        <f t="shared" si="37"/>
        <v>0.29103792566575737</v>
      </c>
      <c r="AO40" s="96">
        <f t="shared" si="37"/>
        <v>0.27848700125754611</v>
      </c>
    </row>
    <row r="41" spans="2:41">
      <c r="B41" s="6" t="s">
        <v>111</v>
      </c>
      <c r="C41" s="6"/>
      <c r="D41" s="6"/>
      <c r="E41" s="6"/>
      <c r="F41" s="6"/>
      <c r="G41" s="6"/>
      <c r="H41" s="1" t="s">
        <v>4</v>
      </c>
      <c r="I41" s="6"/>
      <c r="J41" s="57">
        <f>SUM(L41:AO41)</f>
        <v>2941470.5078193871</v>
      </c>
      <c r="K41" s="6"/>
      <c r="L41" s="57">
        <f>L35*L40</f>
        <v>176266.66666666674</v>
      </c>
      <c r="M41" s="57">
        <f t="shared" ref="M41:AJ41" si="38">M35*M40</f>
        <v>333189.24086804595</v>
      </c>
      <c r="N41" s="57">
        <f t="shared" si="38"/>
        <v>229036.26211399751</v>
      </c>
      <c r="O41" s="57">
        <f t="shared" si="38"/>
        <v>220858.7474859356</v>
      </c>
      <c r="P41" s="57">
        <f t="shared" si="38"/>
        <v>188955.64979252071</v>
      </c>
      <c r="Q41" s="57">
        <f t="shared" si="38"/>
        <v>186219.34988154413</v>
      </c>
      <c r="R41" s="57">
        <f t="shared" si="38"/>
        <v>184118.56228830767</v>
      </c>
      <c r="S41" s="57">
        <f t="shared" si="38"/>
        <v>182625.34931147474</v>
      </c>
      <c r="T41" s="57">
        <f t="shared" si="38"/>
        <v>181178.61753424158</v>
      </c>
      <c r="U41" s="57">
        <f t="shared" si="38"/>
        <v>179776.11698247009</v>
      </c>
      <c r="V41" s="57">
        <f t="shared" si="38"/>
        <v>178415.69683493901</v>
      </c>
      <c r="W41" s="57">
        <f t="shared" si="38"/>
        <v>177095.30186433875</v>
      </c>
      <c r="X41" s="57">
        <f t="shared" si="38"/>
        <v>175812.98070880998</v>
      </c>
      <c r="Y41" s="57">
        <f t="shared" si="38"/>
        <v>174566.84604622721</v>
      </c>
      <c r="Z41" s="57">
        <f t="shared" si="38"/>
        <v>173355.11943986805</v>
      </c>
      <c r="AA41" s="57">
        <f t="shared" si="38"/>
        <v>0</v>
      </c>
      <c r="AB41" s="57">
        <f t="shared" si="38"/>
        <v>0</v>
      </c>
      <c r="AC41" s="57">
        <f t="shared" si="38"/>
        <v>0</v>
      </c>
      <c r="AD41" s="57">
        <f t="shared" si="38"/>
        <v>0</v>
      </c>
      <c r="AE41" s="57">
        <f t="shared" si="38"/>
        <v>0</v>
      </c>
      <c r="AF41" s="57">
        <f t="shared" si="38"/>
        <v>0</v>
      </c>
      <c r="AG41" s="57">
        <f t="shared" si="38"/>
        <v>0</v>
      </c>
      <c r="AH41" s="57">
        <f t="shared" si="38"/>
        <v>0</v>
      </c>
      <c r="AI41" s="57">
        <f t="shared" si="38"/>
        <v>0</v>
      </c>
      <c r="AJ41" s="57">
        <f t="shared" si="38"/>
        <v>0</v>
      </c>
      <c r="AK41" s="57">
        <f t="shared" ref="AK41:AN41" si="39">AK35*AK40</f>
        <v>0</v>
      </c>
      <c r="AL41" s="57">
        <f t="shared" si="39"/>
        <v>0</v>
      </c>
      <c r="AM41" s="57">
        <f t="shared" si="39"/>
        <v>0</v>
      </c>
      <c r="AN41" s="57">
        <f t="shared" si="39"/>
        <v>0</v>
      </c>
      <c r="AO41" s="57">
        <f t="shared" ref="AO41" si="40">AO35*AO40</f>
        <v>0</v>
      </c>
    </row>
    <row r="42" spans="2:41">
      <c r="B42" s="6" t="s">
        <v>115</v>
      </c>
      <c r="C42" s="6"/>
      <c r="D42" s="6"/>
      <c r="E42" s="6"/>
      <c r="F42" s="6"/>
      <c r="G42" s="6"/>
      <c r="H42" s="1" t="s">
        <v>122</v>
      </c>
      <c r="I42" s="6"/>
      <c r="J42" s="180">
        <f>-IFERROR(J41/SUM(J32,J29,J26),0)</f>
        <v>2.0078296981702293</v>
      </c>
      <c r="K42" s="6"/>
      <c r="L42" s="58">
        <f>IFERROR(SUM(L41:$AO$41)/Источники_Долг_WACC!L78,"долга нет")</f>
        <v>3.0015005181830481</v>
      </c>
      <c r="M42" s="58">
        <f>IFERROR(SUM(M41:$AO$41)/Источники_Долг_WACC!M78,"долга нет")</f>
        <v>2.2068665930987397</v>
      </c>
      <c r="N42" s="58">
        <f>IFERROR(SUM(N41:$AO$41)/Источники_Долг_WACC!N78,"долга нет")</f>
        <v>1.8034961811528925</v>
      </c>
      <c r="O42" s="58">
        <f>IFERROR(SUM(O41:$AO$41)/Источники_Долг_WACC!O78,"долга нет")</f>
        <v>1.7359955383535681</v>
      </c>
      <c r="P42" s="58">
        <f>IFERROR(SUM(P41:$AO$41)/Источники_Долг_WACC!P78,"долга нет")</f>
        <v>1.7490048171509058</v>
      </c>
      <c r="Q42" s="58">
        <f>IFERROR(SUM(Q41:$AO$41)/Источники_Долг_WACC!Q78,"долга нет")</f>
        <v>1.8392430852674173</v>
      </c>
      <c r="R42" s="58">
        <f>IFERROR(SUM(R41:$AO$41)/Источники_Долг_WACC!R78,"долга нет")</f>
        <v>1.8281946895556653</v>
      </c>
      <c r="S42" s="58">
        <f>IFERROR(SUM(S41:$AO$41)/Источники_Долг_WACC!S78,"долга нет")</f>
        <v>1.8238269979361066</v>
      </c>
      <c r="T42" s="58">
        <f>IFERROR(SUM(T41:$AO$41)/Источники_Долг_WACC!T78,"долга нет")</f>
        <v>1.8283418110984189</v>
      </c>
      <c r="U42" s="58">
        <f>IFERROR(SUM(U41:$AO$41)/Источники_Долг_WACC!U78,"долга нет")</f>
        <v>1.8467448902331918</v>
      </c>
      <c r="V42" s="58">
        <f>IFERROR(SUM(V41:$AO$41)/Источники_Долг_WACC!V78,"долга нет")</f>
        <v>1.8890607544055762</v>
      </c>
      <c r="W42" s="58">
        <f>IFERROR(SUM(W41:$AO$41)/Источники_Долг_WACC!W78,"долга нет")</f>
        <v>1.9786964167740653</v>
      </c>
      <c r="X42" s="58">
        <f>IFERROR(SUM(X41:$AO$41)/Источники_Долг_WACC!X78,"долга нет")</f>
        <v>2.1858963985194695</v>
      </c>
      <c r="Y42" s="58">
        <f>IFERROR(SUM(Y41:$AO$41)/Источники_Долг_WACC!Y78,"долга нет")</f>
        <v>2.8619278618527804</v>
      </c>
      <c r="Z42" s="58" t="str">
        <f>IFERROR(SUM(Z41:$AO$41)/Источники_Долг_WACC!Z78,"долга нет")</f>
        <v>долга нет</v>
      </c>
      <c r="AA42" s="58" t="str">
        <f>IFERROR(SUM(AA41:$AO$41)/Источники_Долг_WACC!AA78,"долга нет")</f>
        <v>долга нет</v>
      </c>
      <c r="AB42" s="58" t="str">
        <f>IFERROR(SUM(AB41:$AO$41)/Источники_Долг_WACC!AB78,"долга нет")</f>
        <v>долга нет</v>
      </c>
      <c r="AC42" s="58" t="str">
        <f>IFERROR(SUM(AC41:$AO$41)/Источники_Долг_WACC!AC78,"долга нет")</f>
        <v>долга нет</v>
      </c>
      <c r="AD42" s="58" t="str">
        <f>IFERROR(SUM(AD41:$AO$41)/Источники_Долг_WACC!AD78,"долга нет")</f>
        <v>долга нет</v>
      </c>
      <c r="AE42" s="58" t="str">
        <f>IFERROR(SUM(AE41:$AO$41)/Источники_Долг_WACC!AE78,"долга нет")</f>
        <v>долга нет</v>
      </c>
      <c r="AF42" s="58" t="str">
        <f>IFERROR(SUM(AF41:$AO$41)/Источники_Долг_WACC!AF78,"долга нет")</f>
        <v>долга нет</v>
      </c>
      <c r="AG42" s="58" t="str">
        <f>IFERROR(SUM(AG41:$AO$41)/Источники_Долг_WACC!AG78,"долга нет")</f>
        <v>долга нет</v>
      </c>
      <c r="AH42" s="58" t="str">
        <f>IFERROR(SUM(AH41:$AO$41)/Источники_Долг_WACC!AH78,"долга нет")</f>
        <v>долга нет</v>
      </c>
      <c r="AI42" s="58" t="str">
        <f>IFERROR(SUM(AI41:$AO$41)/Источники_Долг_WACC!AI78,"долга нет")</f>
        <v>долга нет</v>
      </c>
      <c r="AJ42" s="58" t="str">
        <f>IFERROR(SUM(AJ41:$AO$41)/Источники_Долг_WACC!AJ78,"долга нет")</f>
        <v>долга нет</v>
      </c>
      <c r="AK42" s="58" t="str">
        <f>IFERROR(SUM(AK41:$AO$41)/Источники_Долг_WACC!AK78,"долга нет")</f>
        <v>долга нет</v>
      </c>
      <c r="AL42" s="58" t="str">
        <f>IFERROR(SUM(AL41:$AO$41)/Источники_Долг_WACC!AL78,"долга нет")</f>
        <v>долга нет</v>
      </c>
      <c r="AM42" s="58" t="str">
        <f>IFERROR(SUM(AM41:$AO$41)/Источники_Долг_WACC!AM78,"долга нет")</f>
        <v>долга нет</v>
      </c>
      <c r="AN42" s="58" t="str">
        <f>IFERROR(SUM(AN41:$AO$41)/Источники_Долг_WACC!AN78,"долга нет")</f>
        <v>долга нет</v>
      </c>
      <c r="AO42" s="58" t="str">
        <f>IFERROR(SUM(AO41:$AO$41)/Источники_Долг_WACC!AO78,"долга нет")</f>
        <v>долга нет</v>
      </c>
    </row>
    <row r="43" spans="2:41" ht="5.0999999999999996" customHeight="1">
      <c r="B43" s="6"/>
      <c r="C43" s="6"/>
      <c r="D43" s="6"/>
      <c r="E43" s="6"/>
      <c r="F43" s="6"/>
      <c r="G43" s="6"/>
      <c r="H43" s="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2:41">
      <c r="B44" s="6" t="s">
        <v>107</v>
      </c>
      <c r="C44" s="6"/>
      <c r="D44" s="6"/>
      <c r="E44" s="6"/>
      <c r="F44" s="6"/>
      <c r="G44" s="6"/>
      <c r="H44" s="1" t="s">
        <v>4</v>
      </c>
      <c r="I44" s="6"/>
      <c r="J44" s="57">
        <f>SUM(L44:AO44)</f>
        <v>2246724.2583526867</v>
      </c>
      <c r="K44" s="6"/>
      <c r="L44" s="76">
        <f>L15-SUM(L9:L11)*(1-20%)+L20</f>
        <v>-909333.33333333326</v>
      </c>
      <c r="M44" s="76">
        <f t="shared" ref="M44:AO44" si="41">M15-SUM(M9:M11)*(1-20%)+M20</f>
        <v>-21999.999999999942</v>
      </c>
      <c r="N44" s="76">
        <f t="shared" si="41"/>
        <v>13972.000000000087</v>
      </c>
      <c r="O44" s="76">
        <f t="shared" si="41"/>
        <v>241728.41333333339</v>
      </c>
      <c r="P44" s="76">
        <f t="shared" si="41"/>
        <v>216682.14786666675</v>
      </c>
      <c r="Q44" s="76">
        <f t="shared" si="41"/>
        <v>225313.2919880001</v>
      </c>
      <c r="R44" s="76">
        <f t="shared" si="41"/>
        <v>234302.46800038675</v>
      </c>
      <c r="S44" s="76">
        <f t="shared" si="41"/>
        <v>243664.18628225481</v>
      </c>
      <c r="T44" s="76">
        <f t="shared" si="41"/>
        <v>253413.53357620334</v>
      </c>
      <c r="U44" s="76">
        <f t="shared" si="41"/>
        <v>263566.19543583703</v>
      </c>
      <c r="V44" s="76">
        <f t="shared" si="41"/>
        <v>274138.47952793341</v>
      </c>
      <c r="W44" s="76">
        <f t="shared" si="41"/>
        <v>285147.33982166246</v>
      </c>
      <c r="X44" s="76">
        <f t="shared" si="41"/>
        <v>296610.40169771318</v>
      </c>
      <c r="Y44" s="76">
        <f t="shared" si="41"/>
        <v>308545.98801135569</v>
      </c>
      <c r="Z44" s="76">
        <f t="shared" si="41"/>
        <v>320973.14614467265</v>
      </c>
      <c r="AA44" s="76">
        <f t="shared" si="41"/>
        <v>0</v>
      </c>
      <c r="AB44" s="76">
        <f t="shared" si="41"/>
        <v>0</v>
      </c>
      <c r="AC44" s="76">
        <f t="shared" si="41"/>
        <v>0</v>
      </c>
      <c r="AD44" s="76">
        <f t="shared" si="41"/>
        <v>0</v>
      </c>
      <c r="AE44" s="76">
        <f t="shared" si="41"/>
        <v>0</v>
      </c>
      <c r="AF44" s="76">
        <f t="shared" si="41"/>
        <v>0</v>
      </c>
      <c r="AG44" s="76">
        <f t="shared" si="41"/>
        <v>0</v>
      </c>
      <c r="AH44" s="76">
        <f t="shared" si="41"/>
        <v>0</v>
      </c>
      <c r="AI44" s="76">
        <f t="shared" si="41"/>
        <v>0</v>
      </c>
      <c r="AJ44" s="76">
        <f t="shared" si="41"/>
        <v>0</v>
      </c>
      <c r="AK44" s="76">
        <f t="shared" si="41"/>
        <v>0</v>
      </c>
      <c r="AL44" s="76">
        <f t="shared" si="41"/>
        <v>0</v>
      </c>
      <c r="AM44" s="76">
        <f t="shared" si="41"/>
        <v>0</v>
      </c>
      <c r="AN44" s="76">
        <f t="shared" si="41"/>
        <v>0</v>
      </c>
      <c r="AO44" s="76">
        <f t="shared" si="41"/>
        <v>0</v>
      </c>
    </row>
    <row r="45" spans="2:41">
      <c r="B45" s="6" t="s">
        <v>88</v>
      </c>
      <c r="C45" s="6"/>
      <c r="D45" s="6"/>
      <c r="E45" s="6"/>
      <c r="F45" s="6"/>
      <c r="G45" s="6"/>
      <c r="H45" s="1" t="s">
        <v>8</v>
      </c>
      <c r="I45" s="6"/>
      <c r="J45" s="88">
        <f>Источники_Долг_WACC!J87</f>
        <v>5.1794594594594595E-2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2:41">
      <c r="B46" s="6" t="s">
        <v>112</v>
      </c>
      <c r="C46" s="6"/>
      <c r="D46" s="6"/>
      <c r="E46" s="6"/>
      <c r="F46" s="6"/>
      <c r="G46" s="6"/>
      <c r="H46" s="1" t="s">
        <v>122</v>
      </c>
      <c r="I46" s="6"/>
      <c r="J46" s="6"/>
      <c r="K46" s="6"/>
      <c r="L46" s="96">
        <f t="shared" ref="L46:AO46" si="42">1/(1+$J$45)^(L1-$L$1)</f>
        <v>1</v>
      </c>
      <c r="M46" s="96">
        <f t="shared" si="42"/>
        <v>0.95075597948422774</v>
      </c>
      <c r="N46" s="96">
        <f t="shared" si="42"/>
        <v>0.90393693252501339</v>
      </c>
      <c r="O46" s="96">
        <f t="shared" si="42"/>
        <v>0.8594234436747874</v>
      </c>
      <c r="P46" s="96">
        <f t="shared" si="42"/>
        <v>0.81710197798273043</v>
      </c>
      <c r="Q46" s="96">
        <f t="shared" si="42"/>
        <v>0.77686459141547082</v>
      </c>
      <c r="R46" s="96">
        <f t="shared" si="42"/>
        <v>0.73860865553783039</v>
      </c>
      <c r="S46" s="96">
        <f t="shared" si="42"/>
        <v>0.70223659575139863</v>
      </c>
      <c r="T46" s="96">
        <f t="shared" si="42"/>
        <v>0.66765564242329056</v>
      </c>
      <c r="U46" s="96">
        <f t="shared" si="42"/>
        <v>0.63477759427032698</v>
      </c>
      <c r="V46" s="96">
        <f t="shared" si="42"/>
        <v>0.60351859339512648</v>
      </c>
      <c r="W46" s="96">
        <f t="shared" si="42"/>
        <v>0.57379891140032691</v>
      </c>
      <c r="X46" s="96">
        <f t="shared" si="42"/>
        <v>0.54554274603540143</v>
      </c>
      <c r="Y46" s="96">
        <f t="shared" si="42"/>
        <v>0.51867802785740336</v>
      </c>
      <c r="Z46" s="96">
        <f t="shared" si="42"/>
        <v>0.49313623641251314</v>
      </c>
      <c r="AA46" s="96">
        <f t="shared" si="42"/>
        <v>0.46885222546954469</v>
      </c>
      <c r="AB46" s="96">
        <f t="shared" si="42"/>
        <v>0.44576405685965687</v>
      </c>
      <c r="AC46" s="96">
        <f t="shared" si="42"/>
        <v>0.42381284249846607</v>
      </c>
      <c r="AD46" s="96">
        <f t="shared" si="42"/>
        <v>0.4029425941876239</v>
      </c>
      <c r="AE46" s="96">
        <f t="shared" si="42"/>
        <v>0.38310008081277008</v>
      </c>
      <c r="AF46" s="96">
        <f t="shared" si="42"/>
        <v>0.364234692573632</v>
      </c>
      <c r="AG46" s="96">
        <f t="shared" si="42"/>
        <v>0.34629831189998</v>
      </c>
      <c r="AH46" s="96">
        <f t="shared" si="42"/>
        <v>0.32924519072420017</v>
      </c>
      <c r="AI46" s="96">
        <f t="shared" si="42"/>
        <v>0.31303183379745836</v>
      </c>
      <c r="AJ46" s="96">
        <f t="shared" si="42"/>
        <v>0.29761688775184647</v>
      </c>
      <c r="AK46" s="96">
        <f t="shared" si="42"/>
        <v>0.28296103562555425</v>
      </c>
      <c r="AL46" s="96">
        <f t="shared" si="42"/>
        <v>0.26902689658204532</v>
      </c>
      <c r="AM46" s="96">
        <f t="shared" si="42"/>
        <v>0.25577893056746459</v>
      </c>
      <c r="AN46" s="96">
        <f t="shared" si="42"/>
        <v>0.24318334766309804</v>
      </c>
      <c r="AO46" s="96">
        <f t="shared" si="42"/>
        <v>0.23120802190168224</v>
      </c>
    </row>
    <row r="47" spans="2:41">
      <c r="B47" s="6" t="s">
        <v>116</v>
      </c>
      <c r="C47" s="6"/>
      <c r="D47" s="6"/>
      <c r="E47" s="6"/>
      <c r="F47" s="6"/>
      <c r="G47" s="6"/>
      <c r="H47" s="1" t="s">
        <v>4</v>
      </c>
      <c r="I47" s="6"/>
      <c r="J47" s="57">
        <f>SUM(L47:AO47)</f>
        <v>1132080.9377127187</v>
      </c>
      <c r="K47" s="6"/>
      <c r="L47" s="87">
        <f>L44*L46</f>
        <v>-909333.33333333326</v>
      </c>
      <c r="M47" s="87">
        <f t="shared" ref="M47:AJ47" si="43">M44*M46</f>
        <v>-20916.631548652957</v>
      </c>
      <c r="N47" s="87">
        <f t="shared" si="43"/>
        <v>12629.806821239566</v>
      </c>
      <c r="O47" s="87">
        <f t="shared" si="43"/>
        <v>207747.06542097576</v>
      </c>
      <c r="P47" s="87">
        <f t="shared" si="43"/>
        <v>177051.41161539988</v>
      </c>
      <c r="Q47" s="87">
        <f t="shared" si="43"/>
        <v>175037.91852073238</v>
      </c>
      <c r="R47" s="87">
        <f t="shared" si="43"/>
        <v>173057.83087896119</v>
      </c>
      <c r="S47" s="87">
        <f t="shared" si="43"/>
        <v>171109.90868138528</v>
      </c>
      <c r="T47" s="87">
        <f t="shared" si="43"/>
        <v>169192.97555857614</v>
      </c>
      <c r="U47" s="87">
        <f t="shared" si="43"/>
        <v>167305.91546974346</v>
      </c>
      <c r="V47" s="87">
        <f t="shared" si="43"/>
        <v>165447.66956017705</v>
      </c>
      <c r="W47" s="87">
        <f t="shared" si="43"/>
        <v>163617.233178369</v>
      </c>
      <c r="X47" s="87">
        <f t="shared" si="43"/>
        <v>161813.65304483395</v>
      </c>
      <c r="Y47" s="87">
        <f t="shared" si="43"/>
        <v>160036.02456504398</v>
      </c>
      <c r="Z47" s="87">
        <f t="shared" si="43"/>
        <v>158283.48927926741</v>
      </c>
      <c r="AA47" s="87">
        <f t="shared" si="43"/>
        <v>0</v>
      </c>
      <c r="AB47" s="87">
        <f t="shared" si="43"/>
        <v>0</v>
      </c>
      <c r="AC47" s="87">
        <f t="shared" si="43"/>
        <v>0</v>
      </c>
      <c r="AD47" s="87">
        <f t="shared" si="43"/>
        <v>0</v>
      </c>
      <c r="AE47" s="87">
        <f t="shared" si="43"/>
        <v>0</v>
      </c>
      <c r="AF47" s="87">
        <f t="shared" si="43"/>
        <v>0</v>
      </c>
      <c r="AG47" s="87">
        <f t="shared" si="43"/>
        <v>0</v>
      </c>
      <c r="AH47" s="87">
        <f t="shared" si="43"/>
        <v>0</v>
      </c>
      <c r="AI47" s="87">
        <f t="shared" si="43"/>
        <v>0</v>
      </c>
      <c r="AJ47" s="87">
        <f t="shared" si="43"/>
        <v>0</v>
      </c>
      <c r="AK47" s="87">
        <f t="shared" ref="AK47:AN47" si="44">AK44*AK46</f>
        <v>0</v>
      </c>
      <c r="AL47" s="87">
        <f t="shared" si="44"/>
        <v>0</v>
      </c>
      <c r="AM47" s="87">
        <f t="shared" si="44"/>
        <v>0</v>
      </c>
      <c r="AN47" s="87">
        <f t="shared" si="44"/>
        <v>0</v>
      </c>
      <c r="AO47" s="87">
        <f t="shared" ref="AO47" si="45">AO44*AO46</f>
        <v>0</v>
      </c>
    </row>
    <row r="48" spans="2:41">
      <c r="B48" s="6" t="s">
        <v>117</v>
      </c>
      <c r="C48" s="6"/>
      <c r="D48" s="6"/>
      <c r="E48" s="6"/>
      <c r="F48" s="6"/>
      <c r="G48" s="6"/>
      <c r="H48" s="1" t="s">
        <v>8</v>
      </c>
      <c r="I48" s="6"/>
      <c r="J48" s="90">
        <f>IRR(L44:AO44)</f>
        <v>0.16796104163771192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2:41">
      <c r="B49" s="6" t="s">
        <v>118</v>
      </c>
      <c r="C49" s="6"/>
      <c r="D49" s="6"/>
      <c r="E49" s="6"/>
      <c r="F49" s="6"/>
      <c r="G49" s="6"/>
      <c r="H49" s="1" t="s">
        <v>122</v>
      </c>
      <c r="I49" s="6"/>
      <c r="J49" s="58">
        <f>J48/J45</f>
        <v>3.2428295452908271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2:41">
      <c r="B50" s="6"/>
      <c r="C50" s="6"/>
      <c r="D50" s="6"/>
      <c r="E50" s="6"/>
      <c r="F50" s="6"/>
      <c r="G50" s="6"/>
      <c r="H50" s="1"/>
      <c r="I50" s="6"/>
      <c r="J50" s="29"/>
      <c r="K50" s="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</row>
    <row r="51" spans="2:41">
      <c r="B51" s="6" t="s">
        <v>185</v>
      </c>
      <c r="C51" s="6"/>
      <c r="D51" s="6"/>
      <c r="E51" s="6"/>
      <c r="F51" s="6"/>
      <c r="G51" s="6"/>
      <c r="H51" s="1"/>
      <c r="I51" s="6"/>
      <c r="J51" s="29"/>
      <c r="K51" s="6"/>
      <c r="L51" s="76">
        <f>SUM($L$15:L15)</f>
        <v>148266.66666666669</v>
      </c>
      <c r="M51" s="76">
        <f>SUM($L$15:M15)</f>
        <v>285444.66666666674</v>
      </c>
      <c r="N51" s="76">
        <f>SUM($L$15:N15)</f>
        <v>426387.33333333349</v>
      </c>
      <c r="O51" s="76">
        <f>SUM($L$15:O15)</f>
        <v>593352.41333333356</v>
      </c>
      <c r="P51" s="76">
        <f>SUM($L$15:P15)</f>
        <v>775195.12120000029</v>
      </c>
      <c r="Q51" s="76">
        <f>SUM($L$15:Q15)</f>
        <v>973205.6131880004</v>
      </c>
      <c r="R51" s="76">
        <f>SUM($L$15:R15)</f>
        <v>1185260.9611883871</v>
      </c>
      <c r="S51" s="76">
        <f>SUM($L$15:S15)</f>
        <v>1409015.787470642</v>
      </c>
      <c r="T51" s="76">
        <f>SUM($L$15:T15)</f>
        <v>1644927.8810468453</v>
      </c>
      <c r="U51" s="76">
        <f>SUM($L$15:U15)</f>
        <v>1893472.7964826825</v>
      </c>
      <c r="V51" s="76">
        <f>SUM($L$15:V15)</f>
        <v>2155144.556010616</v>
      </c>
      <c r="W51" s="76">
        <f>SUM($L$15:W15)</f>
        <v>2430456.3758322783</v>
      </c>
      <c r="X51" s="76">
        <f>SUM($L$15:X15)</f>
        <v>2719941.3375299913</v>
      </c>
      <c r="Y51" s="76">
        <f>SUM($L$15:Y15)</f>
        <v>3024153.3255413468</v>
      </c>
      <c r="Z51" s="76">
        <f>SUM($L$15:Z15)</f>
        <v>3343667.6716860193</v>
      </c>
      <c r="AA51" s="76">
        <f>SUM($L$15:AA15)</f>
        <v>3343667.6716860193</v>
      </c>
      <c r="AB51" s="76">
        <f>SUM($L$15:AB15)</f>
        <v>3343667.6716860193</v>
      </c>
      <c r="AC51" s="76">
        <f>SUM($L$15:AC15)</f>
        <v>3343667.6716860193</v>
      </c>
      <c r="AD51" s="76">
        <f>SUM($L$15:AD15)</f>
        <v>3343667.6716860193</v>
      </c>
      <c r="AE51" s="76">
        <f>SUM($L$15:AE15)</f>
        <v>3343667.6716860193</v>
      </c>
      <c r="AF51" s="76">
        <f>SUM($L$15:AF15)</f>
        <v>3343667.6716860193</v>
      </c>
      <c r="AG51" s="76">
        <f>SUM($L$15:AG15)</f>
        <v>3343667.6716860193</v>
      </c>
      <c r="AH51" s="76">
        <f>SUM($L$15:AH15)</f>
        <v>3343667.6716860193</v>
      </c>
      <c r="AI51" s="76">
        <f>SUM($L$15:AI15)</f>
        <v>3343667.6716860193</v>
      </c>
      <c r="AJ51" s="76">
        <f>SUM($L$15:AJ15)</f>
        <v>3343667.6716860193</v>
      </c>
      <c r="AK51" s="76">
        <f>SUM($L$15:AK15)</f>
        <v>3343667.6716860193</v>
      </c>
      <c r="AL51" s="76">
        <f>SUM($L$15:AL15)</f>
        <v>3343667.6716860193</v>
      </c>
      <c r="AM51" s="76">
        <f>SUM($L$15:AM15)</f>
        <v>3343667.6716860193</v>
      </c>
      <c r="AN51" s="76">
        <f>SUM($L$15:AN15)</f>
        <v>3343667.6716860193</v>
      </c>
      <c r="AO51" s="76">
        <f>SUM($L$15:AO15)</f>
        <v>3343667.6716860193</v>
      </c>
    </row>
    <row r="52" spans="2:41">
      <c r="B52" s="6" t="s">
        <v>186</v>
      </c>
      <c r="C52" s="6"/>
      <c r="D52" s="6"/>
      <c r="E52" s="6"/>
      <c r="F52" s="6"/>
      <c r="G52" s="6"/>
      <c r="H52" s="1"/>
      <c r="I52" s="6"/>
      <c r="J52" s="29"/>
      <c r="K52" s="6"/>
      <c r="L52" s="76">
        <f>SUM($L$20:L20)</f>
        <v>-1080000</v>
      </c>
      <c r="M52" s="76">
        <f>SUM($L$20:M20)</f>
        <v>-1280000</v>
      </c>
      <c r="N52" s="76">
        <f>SUM($L$20:N20)</f>
        <v>-1451666.6666666667</v>
      </c>
      <c r="O52" s="76">
        <f>SUM($L$20:O20)</f>
        <v>-1418333.3333333335</v>
      </c>
      <c r="P52" s="76">
        <f>SUM($L$20:P20)</f>
        <v>-1418333.3333333335</v>
      </c>
      <c r="Q52" s="76">
        <f>SUM($L$20:Q20)</f>
        <v>-1418333.3333333335</v>
      </c>
      <c r="R52" s="76">
        <f>SUM($L$20:R20)</f>
        <v>-1418333.3333333335</v>
      </c>
      <c r="S52" s="76">
        <f>SUM($L$20:S20)</f>
        <v>-1418333.3333333335</v>
      </c>
      <c r="T52" s="76">
        <f>SUM($L$20:T20)</f>
        <v>-1418333.3333333335</v>
      </c>
      <c r="U52" s="76">
        <f>SUM($L$20:U20)</f>
        <v>-1418333.3333333335</v>
      </c>
      <c r="V52" s="76">
        <f>SUM($L$20:V20)</f>
        <v>-1418333.3333333335</v>
      </c>
      <c r="W52" s="76">
        <f>SUM($L$20:W20)</f>
        <v>-1418333.3333333335</v>
      </c>
      <c r="X52" s="76">
        <f>SUM($L$20:X20)</f>
        <v>-1418333.3333333335</v>
      </c>
      <c r="Y52" s="76">
        <f>SUM($L$20:Y20)</f>
        <v>-1418333.3333333335</v>
      </c>
      <c r="Z52" s="76">
        <f>SUM($L$20:Z20)</f>
        <v>-1418333.3333333335</v>
      </c>
      <c r="AA52" s="76">
        <f>SUM($L$20:AA20)</f>
        <v>-1418333.3333333335</v>
      </c>
      <c r="AB52" s="76">
        <f>SUM($L$20:AB20)</f>
        <v>-1418333.3333333335</v>
      </c>
      <c r="AC52" s="76">
        <f>SUM($L$20:AC20)</f>
        <v>-1418333.3333333335</v>
      </c>
      <c r="AD52" s="76">
        <f>SUM($L$20:AD20)</f>
        <v>-1418333.3333333335</v>
      </c>
      <c r="AE52" s="76">
        <f>SUM($L$20:AE20)</f>
        <v>-1418333.3333333335</v>
      </c>
      <c r="AF52" s="76">
        <f>SUM($L$20:AF20)</f>
        <v>-1418333.3333333335</v>
      </c>
      <c r="AG52" s="76">
        <f>SUM($L$20:AG20)</f>
        <v>-1418333.3333333335</v>
      </c>
      <c r="AH52" s="76">
        <f>SUM($L$20:AH20)</f>
        <v>-1418333.3333333335</v>
      </c>
      <c r="AI52" s="76">
        <f>SUM($L$20:AI20)</f>
        <v>-1418333.3333333335</v>
      </c>
      <c r="AJ52" s="76">
        <f>SUM($L$20:AJ20)</f>
        <v>-1418333.3333333335</v>
      </c>
      <c r="AK52" s="76">
        <f>SUM($L$20:AK20)</f>
        <v>-1418333.3333333335</v>
      </c>
      <c r="AL52" s="76">
        <f>SUM($L$20:AL20)</f>
        <v>-1418333.3333333335</v>
      </c>
      <c r="AM52" s="76">
        <f>SUM($L$20:AM20)</f>
        <v>-1418333.3333333335</v>
      </c>
      <c r="AN52" s="76">
        <f>SUM($L$20:AN20)</f>
        <v>-1418333.3333333335</v>
      </c>
      <c r="AO52" s="76">
        <f>SUM($L$20:AO20)</f>
        <v>-1418333.3333333335</v>
      </c>
    </row>
    <row r="53" spans="2:41">
      <c r="B53" s="6" t="s">
        <v>187</v>
      </c>
      <c r="C53" s="6"/>
      <c r="D53" s="6"/>
      <c r="E53" s="6"/>
      <c r="F53" s="6"/>
      <c r="G53" s="6"/>
      <c r="H53" s="1"/>
      <c r="I53" s="6"/>
      <c r="J53" s="29"/>
      <c r="K53" s="6"/>
      <c r="L53" s="76">
        <f>SUM(L51:L52)</f>
        <v>-931733.33333333326</v>
      </c>
      <c r="M53" s="76">
        <f t="shared" ref="M53:AJ53" si="46">SUM(M51:M52)</f>
        <v>-994555.33333333326</v>
      </c>
      <c r="N53" s="76">
        <f t="shared" si="46"/>
        <v>-1025279.3333333333</v>
      </c>
      <c r="O53" s="76">
        <f t="shared" si="46"/>
        <v>-824980.91999999993</v>
      </c>
      <c r="P53" s="76">
        <f t="shared" si="46"/>
        <v>-643138.2121333332</v>
      </c>
      <c r="Q53" s="76">
        <f t="shared" si="46"/>
        <v>-445127.72014533309</v>
      </c>
      <c r="R53" s="76">
        <f t="shared" si="46"/>
        <v>-233072.37214494636</v>
      </c>
      <c r="S53" s="76">
        <f t="shared" si="46"/>
        <v>-9317.5458626914769</v>
      </c>
      <c r="T53" s="76">
        <f t="shared" si="46"/>
        <v>226594.54771351186</v>
      </c>
      <c r="U53" s="76">
        <f t="shared" si="46"/>
        <v>475139.46314934897</v>
      </c>
      <c r="V53" s="76">
        <f t="shared" si="46"/>
        <v>736811.22267728252</v>
      </c>
      <c r="W53" s="76">
        <f t="shared" si="46"/>
        <v>1012123.0424989448</v>
      </c>
      <c r="X53" s="76">
        <f t="shared" si="46"/>
        <v>1301608.0041966578</v>
      </c>
      <c r="Y53" s="76">
        <f t="shared" si="46"/>
        <v>1605819.9922080133</v>
      </c>
      <c r="Z53" s="76">
        <f t="shared" si="46"/>
        <v>1925334.3383526858</v>
      </c>
      <c r="AA53" s="76">
        <f t="shared" si="46"/>
        <v>1925334.3383526858</v>
      </c>
      <c r="AB53" s="76">
        <f t="shared" si="46"/>
        <v>1925334.3383526858</v>
      </c>
      <c r="AC53" s="76">
        <f t="shared" si="46"/>
        <v>1925334.3383526858</v>
      </c>
      <c r="AD53" s="76">
        <f t="shared" si="46"/>
        <v>1925334.3383526858</v>
      </c>
      <c r="AE53" s="76">
        <f t="shared" si="46"/>
        <v>1925334.3383526858</v>
      </c>
      <c r="AF53" s="76">
        <f t="shared" si="46"/>
        <v>1925334.3383526858</v>
      </c>
      <c r="AG53" s="76">
        <f t="shared" si="46"/>
        <v>1925334.3383526858</v>
      </c>
      <c r="AH53" s="76">
        <f t="shared" si="46"/>
        <v>1925334.3383526858</v>
      </c>
      <c r="AI53" s="76">
        <f t="shared" si="46"/>
        <v>1925334.3383526858</v>
      </c>
      <c r="AJ53" s="76">
        <f t="shared" si="46"/>
        <v>1925334.3383526858</v>
      </c>
      <c r="AK53" s="76">
        <f t="shared" ref="AK53:AN53" si="47">SUM(AK51:AK52)</f>
        <v>1925334.3383526858</v>
      </c>
      <c r="AL53" s="76">
        <f t="shared" si="47"/>
        <v>1925334.3383526858</v>
      </c>
      <c r="AM53" s="76">
        <f t="shared" si="47"/>
        <v>1925334.3383526858</v>
      </c>
      <c r="AN53" s="76">
        <f t="shared" si="47"/>
        <v>1925334.3383526858</v>
      </c>
      <c r="AO53" s="76">
        <f t="shared" ref="AO53" si="48">SUM(AO51:AO52)</f>
        <v>1925334.3383526858</v>
      </c>
    </row>
    <row r="54" spans="2:41" s="95" customFormat="1">
      <c r="B54" s="58" t="s">
        <v>127</v>
      </c>
      <c r="C54" s="58"/>
      <c r="D54" s="58"/>
      <c r="E54" s="58"/>
      <c r="F54" s="58"/>
      <c r="G54" s="58"/>
      <c r="H54" s="107"/>
      <c r="I54" s="58"/>
      <c r="J54" s="58">
        <f>IF($AO$54=1,"не окупается",SUM(L54:AO54))</f>
        <v>8.0394958381380377</v>
      </c>
      <c r="K54" s="58"/>
      <c r="L54" s="58">
        <f t="shared" ref="L54:AO54" si="49">IF(L53&lt;0,1,IFERROR(MAX(-K53/L15,0),0))</f>
        <v>1</v>
      </c>
      <c r="M54" s="58">
        <f t="shared" si="49"/>
        <v>1</v>
      </c>
      <c r="N54" s="58">
        <f t="shared" si="49"/>
        <v>1</v>
      </c>
      <c r="O54" s="58">
        <f t="shared" si="49"/>
        <v>1</v>
      </c>
      <c r="P54" s="58">
        <f t="shared" si="49"/>
        <v>1</v>
      </c>
      <c r="Q54" s="58">
        <f t="shared" si="49"/>
        <v>1</v>
      </c>
      <c r="R54" s="58">
        <f t="shared" si="49"/>
        <v>1</v>
      </c>
      <c r="S54" s="58">
        <f t="shared" si="49"/>
        <v>1</v>
      </c>
      <c r="T54" s="58">
        <f t="shared" si="49"/>
        <v>3.9495838138038322E-2</v>
      </c>
      <c r="U54" s="58">
        <f t="shared" si="49"/>
        <v>0</v>
      </c>
      <c r="V54" s="58">
        <f t="shared" si="49"/>
        <v>0</v>
      </c>
      <c r="W54" s="58">
        <f t="shared" si="49"/>
        <v>0</v>
      </c>
      <c r="X54" s="58">
        <f t="shared" si="49"/>
        <v>0</v>
      </c>
      <c r="Y54" s="58">
        <f t="shared" si="49"/>
        <v>0</v>
      </c>
      <c r="Z54" s="58">
        <f t="shared" si="49"/>
        <v>0</v>
      </c>
      <c r="AA54" s="58">
        <f t="shared" si="49"/>
        <v>0</v>
      </c>
      <c r="AB54" s="58">
        <f t="shared" si="49"/>
        <v>0</v>
      </c>
      <c r="AC54" s="58">
        <f t="shared" si="49"/>
        <v>0</v>
      </c>
      <c r="AD54" s="58">
        <f t="shared" si="49"/>
        <v>0</v>
      </c>
      <c r="AE54" s="58">
        <f t="shared" si="49"/>
        <v>0</v>
      </c>
      <c r="AF54" s="58">
        <f t="shared" si="49"/>
        <v>0</v>
      </c>
      <c r="AG54" s="58">
        <f t="shared" si="49"/>
        <v>0</v>
      </c>
      <c r="AH54" s="58">
        <f t="shared" si="49"/>
        <v>0</v>
      </c>
      <c r="AI54" s="58">
        <f t="shared" si="49"/>
        <v>0</v>
      </c>
      <c r="AJ54" s="58">
        <f t="shared" si="49"/>
        <v>0</v>
      </c>
      <c r="AK54" s="58">
        <f t="shared" si="49"/>
        <v>0</v>
      </c>
      <c r="AL54" s="58">
        <f t="shared" si="49"/>
        <v>0</v>
      </c>
      <c r="AM54" s="58">
        <f t="shared" si="49"/>
        <v>0</v>
      </c>
      <c r="AN54" s="58">
        <f t="shared" si="49"/>
        <v>0</v>
      </c>
      <c r="AO54" s="58">
        <f t="shared" si="49"/>
        <v>0</v>
      </c>
    </row>
    <row r="56" spans="2:41">
      <c r="B56" s="6" t="s">
        <v>188</v>
      </c>
      <c r="C56" s="6"/>
      <c r="D56" s="6"/>
      <c r="E56" s="6"/>
      <c r="F56" s="6"/>
      <c r="G56" s="6"/>
      <c r="H56" s="1"/>
      <c r="I56" s="6"/>
      <c r="J56" s="29"/>
      <c r="K56" s="6"/>
      <c r="L56" s="76">
        <f t="shared" ref="L56:AO56" si="50">L15+L20+L33</f>
        <v>148266.66666666674</v>
      </c>
      <c r="M56" s="76">
        <f t="shared" si="50"/>
        <v>260178.00000000006</v>
      </c>
      <c r="N56" s="76">
        <f t="shared" si="50"/>
        <v>114776.00000000009</v>
      </c>
      <c r="O56" s="76">
        <f t="shared" si="50"/>
        <v>120798.41333333339</v>
      </c>
      <c r="P56" s="76">
        <f t="shared" si="50"/>
        <v>46126.945421584154</v>
      </c>
      <c r="Q56" s="76">
        <f t="shared" si="50"/>
        <v>39672.935084326688</v>
      </c>
      <c r="R56" s="76">
        <f t="shared" si="50"/>
        <v>116087.58583688767</v>
      </c>
      <c r="S56" s="76">
        <f t="shared" si="50"/>
        <v>124908.03125385076</v>
      </c>
      <c r="T56" s="76">
        <f t="shared" si="50"/>
        <v>134099.89469694713</v>
      </c>
      <c r="U56" s="76">
        <f t="shared" si="50"/>
        <v>143678.35059020316</v>
      </c>
      <c r="V56" s="76">
        <f t="shared" si="50"/>
        <v>153659.19773693048</v>
      </c>
      <c r="W56" s="76">
        <f t="shared" si="50"/>
        <v>164058.88117692946</v>
      </c>
      <c r="X56" s="76">
        <f t="shared" si="50"/>
        <v>174894.43489363822</v>
      </c>
      <c r="Y56" s="76">
        <f t="shared" si="50"/>
        <v>186183.74540315848</v>
      </c>
      <c r="Z56" s="76">
        <f t="shared" si="50"/>
        <v>197945.25625822952</v>
      </c>
      <c r="AA56" s="76">
        <f t="shared" si="50"/>
        <v>0</v>
      </c>
      <c r="AB56" s="76">
        <f t="shared" si="50"/>
        <v>0</v>
      </c>
      <c r="AC56" s="76">
        <f t="shared" si="50"/>
        <v>0</v>
      </c>
      <c r="AD56" s="76">
        <f t="shared" si="50"/>
        <v>0</v>
      </c>
      <c r="AE56" s="76">
        <f t="shared" si="50"/>
        <v>0</v>
      </c>
      <c r="AF56" s="76">
        <f t="shared" si="50"/>
        <v>0</v>
      </c>
      <c r="AG56" s="76">
        <f t="shared" si="50"/>
        <v>0</v>
      </c>
      <c r="AH56" s="76">
        <f t="shared" si="50"/>
        <v>0</v>
      </c>
      <c r="AI56" s="76">
        <f t="shared" si="50"/>
        <v>0</v>
      </c>
      <c r="AJ56" s="76">
        <f t="shared" si="50"/>
        <v>0</v>
      </c>
      <c r="AK56" s="76">
        <f t="shared" si="50"/>
        <v>0</v>
      </c>
      <c r="AL56" s="76">
        <f t="shared" si="50"/>
        <v>0</v>
      </c>
      <c r="AM56" s="76">
        <f t="shared" si="50"/>
        <v>0</v>
      </c>
      <c r="AN56" s="76">
        <f t="shared" si="50"/>
        <v>0</v>
      </c>
      <c r="AO56" s="76">
        <f t="shared" si="50"/>
        <v>0</v>
      </c>
    </row>
    <row r="57" spans="2:41">
      <c r="B57" s="6" t="s">
        <v>189</v>
      </c>
      <c r="C57" s="6"/>
      <c r="D57" s="6"/>
      <c r="E57" s="6"/>
      <c r="F57" s="6"/>
      <c r="G57" s="6"/>
      <c r="H57" s="1"/>
      <c r="I57" s="6"/>
      <c r="J57" s="29"/>
      <c r="K57" s="6"/>
      <c r="L57" s="76">
        <f>SUM($L56:L56)</f>
        <v>148266.66666666674</v>
      </c>
      <c r="M57" s="76">
        <f>SUM($L56:M56)</f>
        <v>408444.6666666668</v>
      </c>
      <c r="N57" s="76">
        <f>SUM($L56:N56)</f>
        <v>523220.66666666686</v>
      </c>
      <c r="O57" s="76">
        <f>SUM($L56:O56)</f>
        <v>644019.08000000031</v>
      </c>
      <c r="P57" s="76">
        <f>SUM($L56:P56)</f>
        <v>690146.02542158449</v>
      </c>
      <c r="Q57" s="76">
        <f>SUM($L56:Q56)</f>
        <v>729818.96050591115</v>
      </c>
      <c r="R57" s="76">
        <f>SUM($L56:R56)</f>
        <v>845906.54634279886</v>
      </c>
      <c r="S57" s="76">
        <f>SUM($L56:S56)</f>
        <v>970814.57759664964</v>
      </c>
      <c r="T57" s="76">
        <f>SUM($L56:T56)</f>
        <v>1104914.4722935967</v>
      </c>
      <c r="U57" s="76">
        <f>SUM($L56:U56)</f>
        <v>1248592.8228837999</v>
      </c>
      <c r="V57" s="76">
        <f>SUM($L56:V56)</f>
        <v>1402252.0206207305</v>
      </c>
      <c r="W57" s="76">
        <f>SUM($L56:W56)</f>
        <v>1566310.9017976599</v>
      </c>
      <c r="X57" s="76">
        <f>SUM($L56:X56)</f>
        <v>1741205.3366912981</v>
      </c>
      <c r="Y57" s="76">
        <f>SUM($L56:Y56)</f>
        <v>1927389.0820944565</v>
      </c>
      <c r="Z57" s="76">
        <f>SUM($L56:Z56)</f>
        <v>2125334.3383526863</v>
      </c>
      <c r="AA57" s="76">
        <f>SUM($L56:AA56)</f>
        <v>2125334.3383526863</v>
      </c>
      <c r="AB57" s="76">
        <f>SUM($L56:AB56)</f>
        <v>2125334.3383526863</v>
      </c>
      <c r="AC57" s="76">
        <f>SUM($L56:AC56)</f>
        <v>2125334.3383526863</v>
      </c>
      <c r="AD57" s="76">
        <f>SUM($L56:AD56)</f>
        <v>2125334.3383526863</v>
      </c>
      <c r="AE57" s="76">
        <f>SUM($L56:AE56)</f>
        <v>2125334.3383526863</v>
      </c>
      <c r="AF57" s="76">
        <f>SUM($L56:AF56)</f>
        <v>2125334.3383526863</v>
      </c>
      <c r="AG57" s="76">
        <f>SUM($L56:AG56)</f>
        <v>2125334.3383526863</v>
      </c>
      <c r="AH57" s="76">
        <f>SUM($L56:AH56)</f>
        <v>2125334.3383526863</v>
      </c>
      <c r="AI57" s="76">
        <f>SUM($L56:AI56)</f>
        <v>2125334.3383526863</v>
      </c>
      <c r="AJ57" s="76">
        <f>SUM($L56:AJ56)</f>
        <v>2125334.3383526863</v>
      </c>
      <c r="AK57" s="76">
        <f>SUM($L56:AK56)</f>
        <v>2125334.3383526863</v>
      </c>
      <c r="AL57" s="76">
        <f>SUM($L56:AL56)</f>
        <v>2125334.3383526863</v>
      </c>
      <c r="AM57" s="76">
        <f>SUM($L56:AM56)</f>
        <v>2125334.3383526863</v>
      </c>
      <c r="AN57" s="76">
        <f>SUM($L56:AN56)</f>
        <v>2125334.3383526863</v>
      </c>
      <c r="AO57" s="76">
        <f>SUM($L56:AO56)</f>
        <v>2125334.3383526863</v>
      </c>
    </row>
    <row r="58" spans="2:41" s="182" customFormat="1">
      <c r="B58" s="183"/>
      <c r="C58" s="183"/>
      <c r="D58" s="183"/>
      <c r="E58" s="183"/>
      <c r="F58" s="183"/>
      <c r="G58" s="183"/>
      <c r="H58" s="184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L58" s="183"/>
      <c r="AM58" s="183"/>
      <c r="AN58" s="183"/>
      <c r="AO58" s="183"/>
    </row>
    <row r="59" spans="2:41" s="182" customFormat="1">
      <c r="B59" s="183"/>
      <c r="C59" s="183"/>
      <c r="D59" s="183"/>
      <c r="E59" s="183"/>
      <c r="F59" s="183"/>
      <c r="G59" s="183"/>
      <c r="H59" s="184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1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L59" s="183"/>
      <c r="AM59" s="183"/>
      <c r="AN59" s="183"/>
      <c r="AO59" s="183"/>
    </row>
    <row r="60" spans="2:41" s="182" customFormat="1">
      <c r="B60" s="183"/>
      <c r="C60" s="183"/>
      <c r="D60" s="183"/>
      <c r="E60" s="183"/>
      <c r="F60" s="183"/>
      <c r="G60" s="183"/>
      <c r="H60" s="184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L60" s="183"/>
      <c r="AM60" s="183"/>
      <c r="AN60" s="183"/>
      <c r="AO60" s="183"/>
    </row>
    <row r="61" spans="2:41" s="182" customFormat="1">
      <c r="B61" s="183"/>
      <c r="C61" s="183"/>
      <c r="D61" s="183"/>
      <c r="E61" s="183"/>
      <c r="F61" s="183"/>
      <c r="G61" s="183"/>
      <c r="H61" s="184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L61" s="183"/>
      <c r="AM61" s="183"/>
      <c r="AN61" s="183"/>
      <c r="AO61" s="183"/>
    </row>
    <row r="62" spans="2:41" s="182" customFormat="1">
      <c r="B62" s="183"/>
      <c r="C62" s="183"/>
      <c r="D62" s="183"/>
      <c r="E62" s="183"/>
      <c r="F62" s="183"/>
      <c r="G62" s="183"/>
      <c r="H62" s="184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L62" s="183"/>
      <c r="AM62" s="183"/>
      <c r="AN62" s="183"/>
      <c r="AO62" s="183"/>
    </row>
    <row r="63" spans="2:41" s="182" customFormat="1">
      <c r="B63" s="183"/>
      <c r="C63" s="183"/>
      <c r="D63" s="183"/>
      <c r="E63" s="183"/>
      <c r="F63" s="183"/>
      <c r="G63" s="183"/>
      <c r="H63" s="184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L63" s="183"/>
      <c r="AM63" s="183"/>
      <c r="AN63" s="183"/>
      <c r="AO63" s="183"/>
    </row>
    <row r="64" spans="2:41" s="182" customFormat="1">
      <c r="B64" s="183"/>
      <c r="C64" s="183"/>
      <c r="D64" s="183"/>
      <c r="E64" s="183"/>
      <c r="F64" s="183"/>
      <c r="G64" s="183"/>
      <c r="H64" s="184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L64" s="183"/>
      <c r="AM64" s="183"/>
      <c r="AN64" s="183"/>
      <c r="AO64" s="183"/>
    </row>
    <row r="65" spans="2:41" s="182" customFormat="1">
      <c r="B65" s="183"/>
      <c r="C65" s="183"/>
      <c r="D65" s="183"/>
      <c r="E65" s="183"/>
      <c r="F65" s="183"/>
      <c r="G65" s="183"/>
      <c r="H65" s="184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L65" s="183"/>
      <c r="AM65" s="183"/>
      <c r="AN65" s="183"/>
      <c r="AO65" s="183"/>
    </row>
    <row r="66" spans="2:41" s="182" customFormat="1">
      <c r="B66" s="183"/>
      <c r="C66" s="183"/>
      <c r="D66" s="183"/>
      <c r="E66" s="183"/>
      <c r="F66" s="183"/>
      <c r="G66" s="183"/>
      <c r="H66" s="184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L66" s="183"/>
      <c r="AM66" s="183"/>
      <c r="AN66" s="183"/>
      <c r="AO66" s="183"/>
    </row>
    <row r="67" spans="2:41" s="182" customFormat="1">
      <c r="B67" s="183"/>
      <c r="C67" s="183"/>
      <c r="D67" s="183"/>
      <c r="E67" s="183"/>
      <c r="F67" s="183"/>
      <c r="G67" s="183"/>
      <c r="H67" s="184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L67" s="183"/>
      <c r="AM67" s="183"/>
      <c r="AN67" s="183"/>
      <c r="AO67" s="183"/>
    </row>
    <row r="68" spans="2:41" s="182" customFormat="1">
      <c r="B68" s="183"/>
      <c r="C68" s="183"/>
      <c r="D68" s="183"/>
      <c r="E68" s="183"/>
      <c r="F68" s="183"/>
      <c r="G68" s="183"/>
      <c r="H68" s="184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L68" s="183"/>
      <c r="AM68" s="183"/>
      <c r="AN68" s="183"/>
      <c r="AO68" s="183"/>
    </row>
    <row r="69" spans="2:41" s="182" customFormat="1">
      <c r="B69" s="183"/>
      <c r="C69" s="183"/>
      <c r="D69" s="183"/>
      <c r="E69" s="183"/>
      <c r="F69" s="183"/>
      <c r="G69" s="183"/>
      <c r="H69" s="184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L69" s="183"/>
      <c r="AM69" s="183"/>
      <c r="AN69" s="183"/>
      <c r="AO69" s="183"/>
    </row>
    <row r="70" spans="2:41" s="182" customFormat="1">
      <c r="B70" s="183"/>
      <c r="C70" s="183"/>
      <c r="D70" s="183"/>
      <c r="E70" s="183"/>
      <c r="F70" s="183"/>
      <c r="G70" s="183"/>
      <c r="H70" s="184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L70" s="183"/>
      <c r="AM70" s="183"/>
      <c r="AN70" s="183"/>
      <c r="AO70" s="183"/>
    </row>
    <row r="71" spans="2:41" s="182" customFormat="1">
      <c r="B71" s="183"/>
      <c r="C71" s="183"/>
      <c r="D71" s="183"/>
      <c r="E71" s="183"/>
      <c r="F71" s="183"/>
      <c r="G71" s="183"/>
      <c r="H71" s="184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L71" s="183"/>
      <c r="AM71" s="183"/>
      <c r="AN71" s="183"/>
      <c r="AO71" s="183"/>
    </row>
    <row r="72" spans="2:41" s="182" customFormat="1">
      <c r="B72" s="183"/>
      <c r="C72" s="183"/>
      <c r="D72" s="183"/>
      <c r="E72" s="183"/>
      <c r="F72" s="183"/>
      <c r="G72" s="183"/>
      <c r="H72" s="184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L72" s="183"/>
      <c r="AM72" s="183"/>
      <c r="AN72" s="183"/>
      <c r="AO72" s="183"/>
    </row>
    <row r="73" spans="2:41" s="182" customFormat="1">
      <c r="B73" s="183"/>
      <c r="C73" s="183"/>
      <c r="D73" s="183"/>
      <c r="E73" s="183"/>
      <c r="F73" s="183"/>
      <c r="G73" s="183"/>
      <c r="H73" s="184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L73" s="183"/>
      <c r="AM73" s="183"/>
      <c r="AN73" s="183"/>
      <c r="AO73" s="183"/>
    </row>
    <row r="74" spans="2:41" s="182" customFormat="1">
      <c r="B74" s="183"/>
      <c r="C74" s="183"/>
      <c r="D74" s="183"/>
      <c r="E74" s="183"/>
      <c r="F74" s="183"/>
      <c r="G74" s="183"/>
      <c r="H74" s="184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L74" s="183"/>
      <c r="AM74" s="183"/>
      <c r="AN74" s="183"/>
      <c r="AO74" s="183"/>
    </row>
    <row r="75" spans="2:41" s="182" customFormat="1">
      <c r="B75" s="183"/>
      <c r="C75" s="183"/>
      <c r="D75" s="183"/>
      <c r="E75" s="183"/>
      <c r="F75" s="183"/>
      <c r="G75" s="183"/>
      <c r="H75" s="184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L75" s="183"/>
      <c r="AM75" s="183"/>
      <c r="AN75" s="183"/>
      <c r="AO75" s="183"/>
    </row>
    <row r="76" spans="2:41" s="182" customFormat="1">
      <c r="B76" s="183"/>
      <c r="C76" s="183"/>
      <c r="D76" s="183"/>
      <c r="E76" s="183"/>
      <c r="F76" s="183"/>
      <c r="G76" s="183"/>
      <c r="H76" s="184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L76" s="183"/>
      <c r="AM76" s="183"/>
      <c r="AN76" s="183"/>
      <c r="AO76" s="183"/>
    </row>
    <row r="77" spans="2:41" s="182" customFormat="1">
      <c r="B77" s="183"/>
      <c r="C77" s="183"/>
      <c r="D77" s="183"/>
      <c r="E77" s="183"/>
      <c r="F77" s="183"/>
      <c r="G77" s="183"/>
      <c r="H77" s="184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L77" s="183"/>
      <c r="AM77" s="183"/>
      <c r="AN77" s="183"/>
      <c r="AO77" s="183"/>
    </row>
    <row r="78" spans="2:41" s="182" customFormat="1">
      <c r="B78" s="183"/>
      <c r="C78" s="183"/>
      <c r="D78" s="183"/>
      <c r="E78" s="183"/>
      <c r="F78" s="183"/>
      <c r="G78" s="183"/>
      <c r="H78" s="184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L78" s="183"/>
      <c r="AM78" s="183"/>
      <c r="AN78" s="183"/>
      <c r="AO78" s="183"/>
    </row>
    <row r="79" spans="2:41" s="182" customFormat="1">
      <c r="B79" s="183"/>
      <c r="C79" s="183"/>
      <c r="D79" s="183"/>
      <c r="E79" s="183"/>
      <c r="F79" s="183"/>
      <c r="G79" s="183"/>
      <c r="H79" s="184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L79" s="183"/>
      <c r="AM79" s="183"/>
      <c r="AN79" s="183"/>
      <c r="AO79" s="183"/>
    </row>
    <row r="80" spans="2:41" s="182" customFormat="1">
      <c r="B80" s="183"/>
      <c r="C80" s="183"/>
      <c r="D80" s="183"/>
      <c r="E80" s="183"/>
      <c r="F80" s="183"/>
      <c r="G80" s="183"/>
      <c r="H80" s="184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L80" s="183"/>
      <c r="AM80" s="183"/>
      <c r="AN80" s="183"/>
      <c r="AO80" s="183"/>
    </row>
    <row r="81" spans="2:41" s="182" customFormat="1">
      <c r="B81" s="183"/>
      <c r="C81" s="183"/>
      <c r="D81" s="183"/>
      <c r="E81" s="183"/>
      <c r="F81" s="183"/>
      <c r="G81" s="183"/>
      <c r="H81" s="184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L81" s="183"/>
      <c r="AM81" s="183"/>
      <c r="AN81" s="183"/>
      <c r="AO81" s="183"/>
    </row>
    <row r="82" spans="2:41" s="182" customFormat="1">
      <c r="B82" s="183"/>
      <c r="C82" s="183"/>
      <c r="D82" s="183"/>
      <c r="E82" s="183"/>
      <c r="F82" s="183"/>
      <c r="G82" s="183"/>
      <c r="H82" s="184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L82" s="183"/>
      <c r="AM82" s="183"/>
      <c r="AN82" s="183"/>
      <c r="AO82" s="183"/>
    </row>
    <row r="83" spans="2:41" s="182" customFormat="1">
      <c r="B83" s="183"/>
      <c r="C83" s="183"/>
      <c r="D83" s="183"/>
      <c r="E83" s="183"/>
      <c r="F83" s="183"/>
      <c r="G83" s="183"/>
      <c r="H83" s="184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L83" s="183"/>
      <c r="AM83" s="183"/>
      <c r="AN83" s="183"/>
      <c r="AO83" s="183"/>
    </row>
    <row r="84" spans="2:41" s="182" customFormat="1">
      <c r="B84" s="183"/>
      <c r="C84" s="183"/>
      <c r="D84" s="183"/>
      <c r="E84" s="183"/>
      <c r="F84" s="183"/>
      <c r="G84" s="183"/>
      <c r="H84" s="184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L84" s="183"/>
      <c r="AM84" s="183"/>
      <c r="AN84" s="183"/>
      <c r="AO84" s="183"/>
    </row>
    <row r="85" spans="2:41" s="182" customFormat="1">
      <c r="B85" s="183"/>
      <c r="C85" s="183"/>
      <c r="D85" s="183"/>
      <c r="E85" s="183"/>
      <c r="F85" s="183"/>
      <c r="G85" s="183"/>
      <c r="H85" s="184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L85" s="183"/>
      <c r="AM85" s="183"/>
      <c r="AN85" s="183"/>
      <c r="AO85" s="183"/>
    </row>
    <row r="86" spans="2:41" s="182" customFormat="1">
      <c r="B86" s="183"/>
      <c r="C86" s="183"/>
      <c r="D86" s="183"/>
      <c r="E86" s="183"/>
      <c r="F86" s="183"/>
      <c r="G86" s="183"/>
      <c r="H86" s="184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L86" s="183"/>
      <c r="AM86" s="183"/>
      <c r="AN86" s="183"/>
      <c r="AO86" s="183"/>
    </row>
    <row r="87" spans="2:41" s="182" customFormat="1">
      <c r="B87" s="183"/>
      <c r="C87" s="183"/>
      <c r="D87" s="183"/>
      <c r="E87" s="183"/>
      <c r="F87" s="183"/>
      <c r="G87" s="183"/>
      <c r="H87" s="184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L87" s="183"/>
      <c r="AM87" s="183"/>
      <c r="AN87" s="183"/>
      <c r="AO87" s="183"/>
    </row>
    <row r="88" spans="2:41" s="182" customFormat="1">
      <c r="B88" s="183"/>
      <c r="C88" s="183"/>
      <c r="D88" s="183"/>
      <c r="E88" s="183"/>
      <c r="F88" s="183"/>
      <c r="G88" s="183"/>
      <c r="H88" s="184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L88" s="183"/>
      <c r="AM88" s="183"/>
      <c r="AN88" s="183"/>
      <c r="AO88" s="183"/>
    </row>
    <row r="89" spans="2:41" s="182" customFormat="1">
      <c r="B89" s="183"/>
      <c r="C89" s="183"/>
      <c r="D89" s="183"/>
      <c r="E89" s="183"/>
      <c r="F89" s="183"/>
      <c r="G89" s="183"/>
      <c r="H89" s="184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L89" s="183"/>
      <c r="AM89" s="183"/>
      <c r="AN89" s="183"/>
      <c r="AO89" s="183"/>
    </row>
    <row r="90" spans="2:41" s="182" customFormat="1">
      <c r="B90" s="183"/>
      <c r="C90" s="183"/>
      <c r="D90" s="183"/>
      <c r="E90" s="183"/>
      <c r="F90" s="183"/>
      <c r="G90" s="183"/>
      <c r="H90" s="184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L90" s="183"/>
      <c r="AM90" s="183"/>
      <c r="AN90" s="183"/>
      <c r="AO90" s="183"/>
    </row>
    <row r="91" spans="2:41" s="182" customFormat="1">
      <c r="B91" s="183"/>
      <c r="C91" s="183"/>
      <c r="D91" s="183"/>
      <c r="E91" s="183"/>
      <c r="F91" s="183"/>
      <c r="G91" s="183"/>
      <c r="H91" s="184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L91" s="183"/>
      <c r="AM91" s="183"/>
      <c r="AN91" s="183"/>
      <c r="AO91" s="183"/>
    </row>
    <row r="92" spans="2:41" s="182" customFormat="1">
      <c r="B92" s="183"/>
      <c r="C92" s="183"/>
      <c r="D92" s="183"/>
      <c r="E92" s="183"/>
      <c r="F92" s="183"/>
      <c r="G92" s="183"/>
      <c r="H92" s="184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L92" s="183"/>
      <c r="AM92" s="183"/>
      <c r="AN92" s="183"/>
      <c r="AO92" s="183"/>
    </row>
    <row r="93" spans="2:41" s="182" customFormat="1">
      <c r="B93" s="183"/>
      <c r="C93" s="183"/>
      <c r="D93" s="183"/>
      <c r="E93" s="183"/>
      <c r="F93" s="183"/>
      <c r="G93" s="183"/>
      <c r="H93" s="184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L93" s="183"/>
      <c r="AM93" s="183"/>
      <c r="AN93" s="183"/>
      <c r="AO93" s="183"/>
    </row>
    <row r="94" spans="2:41" s="182" customFormat="1">
      <c r="B94" s="183"/>
      <c r="C94" s="183"/>
      <c r="D94" s="183"/>
      <c r="E94" s="183"/>
      <c r="F94" s="183"/>
      <c r="G94" s="183"/>
      <c r="H94" s="184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L94" s="183"/>
      <c r="AM94" s="183"/>
      <c r="AN94" s="183"/>
      <c r="AO94" s="183"/>
    </row>
    <row r="95" spans="2:41" s="182" customFormat="1">
      <c r="B95" s="183"/>
      <c r="C95" s="183"/>
      <c r="D95" s="183"/>
      <c r="E95" s="183"/>
      <c r="F95" s="183"/>
      <c r="G95" s="183"/>
      <c r="H95" s="184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L95" s="183"/>
      <c r="AM95" s="183"/>
      <c r="AN95" s="183"/>
      <c r="AO95" s="183"/>
    </row>
    <row r="96" spans="2:41" s="182" customFormat="1">
      <c r="B96" s="183"/>
      <c r="C96" s="183"/>
      <c r="D96" s="183"/>
      <c r="E96" s="183"/>
      <c r="F96" s="183"/>
      <c r="G96" s="183"/>
      <c r="H96" s="184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L96" s="183"/>
      <c r="AM96" s="183"/>
      <c r="AN96" s="183"/>
      <c r="AO96" s="183"/>
    </row>
    <row r="97" spans="2:41" s="182" customFormat="1">
      <c r="B97" s="183"/>
      <c r="C97" s="183"/>
      <c r="D97" s="183"/>
      <c r="E97" s="183"/>
      <c r="F97" s="183"/>
      <c r="G97" s="183"/>
      <c r="H97" s="184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L97" s="183"/>
      <c r="AM97" s="183"/>
      <c r="AN97" s="183"/>
      <c r="AO97" s="183"/>
    </row>
    <row r="98" spans="2:41" s="182" customFormat="1">
      <c r="B98" s="183"/>
      <c r="C98" s="183"/>
      <c r="D98" s="183"/>
      <c r="E98" s="183"/>
      <c r="F98" s="183"/>
      <c r="G98" s="183"/>
      <c r="H98" s="184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L98" s="183"/>
      <c r="AM98" s="183"/>
      <c r="AN98" s="183"/>
      <c r="AO98" s="183"/>
    </row>
    <row r="99" spans="2:41" s="182" customFormat="1">
      <c r="B99" s="183"/>
      <c r="C99" s="183"/>
      <c r="D99" s="183"/>
      <c r="E99" s="183"/>
      <c r="F99" s="183"/>
      <c r="G99" s="183"/>
      <c r="H99" s="184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L99" s="183"/>
      <c r="AM99" s="183"/>
      <c r="AN99" s="183"/>
      <c r="AO99" s="183"/>
    </row>
    <row r="100" spans="2:41" s="182" customFormat="1">
      <c r="B100" s="183"/>
      <c r="C100" s="183"/>
      <c r="D100" s="183"/>
      <c r="E100" s="183"/>
      <c r="F100" s="183"/>
      <c r="G100" s="183"/>
      <c r="H100" s="184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L100" s="183"/>
      <c r="AM100" s="183"/>
      <c r="AN100" s="183"/>
      <c r="AO100" s="183"/>
    </row>
    <row r="101" spans="2:41" s="182" customFormat="1">
      <c r="B101" s="183"/>
      <c r="C101" s="183"/>
      <c r="D101" s="183"/>
      <c r="E101" s="183"/>
      <c r="F101" s="183"/>
      <c r="G101" s="183"/>
      <c r="H101" s="184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L101" s="183"/>
      <c r="AM101" s="183"/>
      <c r="AN101" s="183"/>
      <c r="AO101" s="183"/>
    </row>
    <row r="102" spans="2:41" s="182" customFormat="1">
      <c r="B102" s="183"/>
      <c r="C102" s="183"/>
      <c r="D102" s="183"/>
      <c r="E102" s="183"/>
      <c r="F102" s="183"/>
      <c r="G102" s="183"/>
      <c r="H102" s="184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L102" s="183"/>
      <c r="AM102" s="183"/>
      <c r="AN102" s="183"/>
      <c r="AO102" s="183"/>
    </row>
    <row r="103" spans="2:41" s="182" customFormat="1">
      <c r="B103" s="183"/>
      <c r="C103" s="183"/>
      <c r="D103" s="183"/>
      <c r="E103" s="183"/>
      <c r="F103" s="183"/>
      <c r="G103" s="183"/>
      <c r="H103" s="184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L103" s="183"/>
      <c r="AM103" s="183"/>
      <c r="AN103" s="183"/>
      <c r="AO103" s="183"/>
    </row>
    <row r="104" spans="2:41" s="182" customFormat="1">
      <c r="B104" s="183"/>
      <c r="C104" s="183"/>
      <c r="D104" s="183"/>
      <c r="E104" s="183"/>
      <c r="F104" s="183"/>
      <c r="G104" s="183"/>
      <c r="H104" s="184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L104" s="183"/>
      <c r="AM104" s="183"/>
      <c r="AN104" s="183"/>
      <c r="AO104" s="183"/>
    </row>
    <row r="105" spans="2:41" s="182" customFormat="1">
      <c r="B105" s="183"/>
      <c r="C105" s="183"/>
      <c r="D105" s="183"/>
      <c r="E105" s="183"/>
      <c r="F105" s="183"/>
      <c r="G105" s="183"/>
      <c r="H105" s="184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L105" s="183"/>
      <c r="AM105" s="183"/>
      <c r="AN105" s="183"/>
      <c r="AO105" s="183"/>
    </row>
    <row r="106" spans="2:41" s="182" customFormat="1">
      <c r="B106" s="183"/>
      <c r="C106" s="183"/>
      <c r="D106" s="183"/>
      <c r="E106" s="183"/>
      <c r="F106" s="183"/>
      <c r="G106" s="183"/>
      <c r="H106" s="184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L106" s="183"/>
      <c r="AM106" s="183"/>
      <c r="AN106" s="183"/>
      <c r="AO106" s="183"/>
    </row>
    <row r="107" spans="2:41" s="182" customFormat="1">
      <c r="B107" s="183"/>
      <c r="C107" s="183"/>
      <c r="D107" s="183"/>
      <c r="E107" s="183"/>
      <c r="F107" s="183"/>
      <c r="G107" s="183"/>
      <c r="H107" s="184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L107" s="183"/>
      <c r="AM107" s="183"/>
      <c r="AN107" s="183"/>
      <c r="AO107" s="183"/>
    </row>
    <row r="108" spans="2:41" s="182" customFormat="1">
      <c r="B108" s="183"/>
      <c r="C108" s="183"/>
      <c r="D108" s="183"/>
      <c r="E108" s="183"/>
      <c r="F108" s="183"/>
      <c r="G108" s="183"/>
      <c r="H108" s="184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L108" s="183"/>
      <c r="AM108" s="183"/>
      <c r="AN108" s="183"/>
      <c r="AO108" s="183"/>
    </row>
    <row r="109" spans="2:41" s="182" customFormat="1">
      <c r="B109" s="183"/>
      <c r="C109" s="183"/>
      <c r="D109" s="183"/>
      <c r="E109" s="183"/>
      <c r="F109" s="183"/>
      <c r="G109" s="183"/>
      <c r="H109" s="184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L109" s="183"/>
      <c r="AM109" s="183"/>
      <c r="AN109" s="183"/>
      <c r="AO109" s="183"/>
    </row>
    <row r="110" spans="2:41" s="182" customFormat="1">
      <c r="B110" s="183"/>
      <c r="C110" s="183"/>
      <c r="D110" s="183"/>
      <c r="E110" s="183"/>
      <c r="F110" s="183"/>
      <c r="G110" s="183"/>
      <c r="H110" s="184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L110" s="183"/>
      <c r="AM110" s="183"/>
      <c r="AN110" s="183"/>
      <c r="AO110" s="183"/>
    </row>
    <row r="111" spans="2:41" s="182" customFormat="1">
      <c r="B111" s="183"/>
      <c r="C111" s="183"/>
      <c r="D111" s="183"/>
      <c r="E111" s="183"/>
      <c r="F111" s="183"/>
      <c r="G111" s="183"/>
      <c r="H111" s="184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L111" s="183"/>
      <c r="AM111" s="183"/>
      <c r="AN111" s="183"/>
      <c r="AO111" s="183"/>
    </row>
    <row r="112" spans="2:41" s="182" customFormat="1">
      <c r="B112" s="183"/>
      <c r="C112" s="183"/>
      <c r="D112" s="183"/>
      <c r="E112" s="183"/>
      <c r="F112" s="183"/>
      <c r="G112" s="183"/>
      <c r="H112" s="184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L112" s="183"/>
      <c r="AM112" s="183"/>
      <c r="AN112" s="183"/>
      <c r="AO112" s="183"/>
    </row>
    <row r="113" spans="2:41" s="182" customFormat="1">
      <c r="B113" s="183"/>
      <c r="C113" s="183"/>
      <c r="D113" s="183"/>
      <c r="E113" s="183"/>
      <c r="F113" s="183"/>
      <c r="G113" s="183"/>
      <c r="H113" s="184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L113" s="183"/>
      <c r="AM113" s="183"/>
      <c r="AN113" s="183"/>
      <c r="AO113" s="183"/>
    </row>
    <row r="114" spans="2:41" s="182" customFormat="1">
      <c r="B114" s="183"/>
      <c r="C114" s="183"/>
      <c r="D114" s="183"/>
      <c r="E114" s="183"/>
      <c r="F114" s="183"/>
      <c r="G114" s="183"/>
      <c r="H114" s="184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L114" s="183"/>
      <c r="AM114" s="183"/>
      <c r="AN114" s="183"/>
      <c r="AO114" s="183"/>
    </row>
    <row r="115" spans="2:41" s="182" customFormat="1">
      <c r="B115" s="183"/>
      <c r="C115" s="183"/>
      <c r="D115" s="183"/>
      <c r="E115" s="183"/>
      <c r="F115" s="183"/>
      <c r="G115" s="183"/>
      <c r="H115" s="184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L115" s="183"/>
      <c r="AM115" s="183"/>
      <c r="AN115" s="183"/>
      <c r="AO115" s="183"/>
    </row>
    <row r="116" spans="2:41" s="182" customFormat="1">
      <c r="B116" s="183"/>
      <c r="C116" s="183"/>
      <c r="D116" s="183"/>
      <c r="E116" s="183"/>
      <c r="F116" s="183"/>
      <c r="G116" s="183"/>
      <c r="H116" s="184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L116" s="183"/>
      <c r="AM116" s="183"/>
      <c r="AN116" s="183"/>
      <c r="AO116" s="183"/>
    </row>
    <row r="117" spans="2:41" s="182" customFormat="1">
      <c r="B117" s="183"/>
      <c r="C117" s="183"/>
      <c r="D117" s="183"/>
      <c r="E117" s="183"/>
      <c r="F117" s="183"/>
      <c r="G117" s="183"/>
      <c r="H117" s="184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L117" s="183"/>
      <c r="AM117" s="183"/>
      <c r="AN117" s="183"/>
      <c r="AO117" s="183"/>
    </row>
    <row r="118" spans="2:41" s="182" customFormat="1">
      <c r="B118" s="183"/>
      <c r="C118" s="183"/>
      <c r="D118" s="183"/>
      <c r="E118" s="183"/>
      <c r="F118" s="183"/>
      <c r="G118" s="183"/>
      <c r="H118" s="184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L118" s="183"/>
      <c r="AM118" s="183"/>
      <c r="AN118" s="183"/>
      <c r="AO118" s="183"/>
    </row>
    <row r="119" spans="2:41" s="182" customFormat="1">
      <c r="B119" s="183"/>
      <c r="C119" s="183"/>
      <c r="D119" s="183"/>
      <c r="E119" s="183"/>
      <c r="F119" s="183"/>
      <c r="G119" s="183"/>
      <c r="H119" s="184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L119" s="183"/>
      <c r="AM119" s="183"/>
      <c r="AN119" s="183"/>
      <c r="AO119" s="183"/>
    </row>
    <row r="120" spans="2:41" s="182" customFormat="1">
      <c r="B120" s="183"/>
      <c r="C120" s="183"/>
      <c r="D120" s="183"/>
      <c r="E120" s="183"/>
      <c r="F120" s="183"/>
      <c r="G120" s="183"/>
      <c r="H120" s="184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L120" s="183"/>
      <c r="AM120" s="183"/>
      <c r="AN120" s="183"/>
      <c r="AO120" s="183"/>
    </row>
    <row r="121" spans="2:41" s="182" customFormat="1">
      <c r="B121" s="183"/>
      <c r="C121" s="183"/>
      <c r="D121" s="183"/>
      <c r="E121" s="183"/>
      <c r="F121" s="183"/>
      <c r="G121" s="183"/>
      <c r="H121" s="184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L121" s="183"/>
      <c r="AM121" s="183"/>
      <c r="AN121" s="183"/>
      <c r="AO121" s="183"/>
    </row>
  </sheetData>
  <sheetProtection password="F585" sheet="1" objects="1" scenarios="1" formatCells="0" formatColumns="0" formatRows="0"/>
  <customSheetViews>
    <customSheetView guid="{7D5A2C9F-3ABE-4F29-B54C-C3E3AA98CA69}" scale="85" showPageBreaks="1" fitToPage="1" printArea="1" hiddenRows="1" hiddenColumns="1" view="pageBreakPreview">
      <pane xSplit="11" ySplit="1" topLeftCell="L2" activePane="bottomRight" state="frozen"/>
      <selection pane="bottomRight" activeCell="L15" sqref="L15"/>
      <colBreaks count="1" manualBreakCount="1">
        <brk id="25" max="56" man="1"/>
      </colBreaks>
      <pageMargins left="0.39370078740157483" right="0.39370078740157483" top="0.74803149606299213" bottom="0.74803149606299213" header="0.31496062992125984" footer="0.31496062992125984"/>
      <pageSetup paperSize="9" scale="66" fitToWidth="3" orientation="landscape" horizontalDpi="0" verticalDpi="0" r:id="rId1"/>
      <headerFooter>
        <oddHeader>&amp;R&amp;G</oddHeader>
      </headerFooter>
    </customSheetView>
  </customSheetViews>
  <conditionalFormatting sqref="L37:AO37">
    <cfRule type="cellIs" dxfId="19" priority="2" operator="lessThan">
      <formula>1.05</formula>
    </cfRule>
  </conditionalFormatting>
  <conditionalFormatting sqref="L56:AO57">
    <cfRule type="cellIs" dxfId="18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66" fitToWidth="3" orientation="landscape" horizontalDpi="0" verticalDpi="0" r:id="rId2"/>
  <headerFooter>
    <oddHeader>&amp;R&amp;G</oddHeader>
  </headerFooter>
  <colBreaks count="1" manualBreakCount="1">
    <brk id="25" max="56" man="1"/>
  </colBreak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theme="0" tint="-0.499984740745262"/>
    <pageSetUpPr fitToPage="1"/>
  </sheetPr>
  <dimension ref="B4:M86"/>
  <sheetViews>
    <sheetView view="pageBreakPreview" zoomScale="85" zoomScaleNormal="100" zoomScaleSheetLayoutView="85" workbookViewId="0"/>
  </sheetViews>
  <sheetFormatPr defaultRowHeight="15"/>
  <cols>
    <col min="2" max="2" width="2.7109375" customWidth="1"/>
    <col min="7" max="7" width="9.140625" style="109"/>
    <col min="8" max="10" width="15.7109375" customWidth="1"/>
  </cols>
  <sheetData>
    <row r="4" spans="2:10">
      <c r="B4" s="142" t="s">
        <v>192</v>
      </c>
      <c r="D4" s="164" t="str">
        <f>Титул!C20</f>
        <v>[•]</v>
      </c>
      <c r="E4" s="165"/>
      <c r="F4" s="165"/>
      <c r="G4" s="165"/>
      <c r="H4" s="165"/>
      <c r="I4" s="165"/>
    </row>
    <row r="7" spans="2:10" s="110" customFormat="1" ht="30">
      <c r="B7" s="117" t="s">
        <v>131</v>
      </c>
      <c r="C7" s="118"/>
      <c r="D7" s="119"/>
      <c r="E7" s="118"/>
      <c r="F7" s="118"/>
      <c r="G7" s="118"/>
      <c r="H7" s="120" t="s">
        <v>133</v>
      </c>
      <c r="I7" s="120"/>
      <c r="J7" s="118" t="s">
        <v>134</v>
      </c>
    </row>
    <row r="8" spans="2:10">
      <c r="C8" t="s">
        <v>132</v>
      </c>
      <c r="G8" s="115" t="s">
        <v>4</v>
      </c>
      <c r="H8" s="121"/>
      <c r="I8" s="122">
        <f>-CF!J17</f>
        <v>1850000</v>
      </c>
      <c r="J8" s="112">
        <v>100000</v>
      </c>
    </row>
    <row r="9" spans="2:10">
      <c r="C9" t="s">
        <v>135</v>
      </c>
      <c r="G9" s="116" t="s">
        <v>72</v>
      </c>
      <c r="H9" s="123"/>
      <c r="I9" s="138">
        <f>COUNTIF(CF!$L$17:$AO$17,"&lt;&gt;0")</f>
        <v>3</v>
      </c>
      <c r="J9" s="109">
        <v>4</v>
      </c>
    </row>
    <row r="10" spans="2:10">
      <c r="C10" t="s">
        <v>136</v>
      </c>
      <c r="G10" s="116" t="s">
        <v>8</v>
      </c>
      <c r="H10" s="124"/>
      <c r="I10" s="139">
        <f>Источники_Долг_WACC!F85</f>
        <v>0.6</v>
      </c>
      <c r="J10" s="140">
        <v>0.8</v>
      </c>
    </row>
    <row r="11" spans="2:10">
      <c r="C11" t="s">
        <v>137</v>
      </c>
      <c r="G11" s="116" t="s">
        <v>138</v>
      </c>
      <c r="H11" s="125"/>
      <c r="I11" s="126">
        <f>MAX(CAPEX!L11:O11)-COUNTIF(CAPEX!L11:O11,"&gt;0")+Источники_Долг_WACC!E43</f>
        <v>2036</v>
      </c>
      <c r="J11" s="111">
        <f>MAX(CAPEX!L11:O11)-COUNTIF(CAPEX!L11:O11,"&gt;0")+25</f>
        <v>2046</v>
      </c>
    </row>
    <row r="12" spans="2:10" s="110" customFormat="1">
      <c r="B12" s="117" t="s">
        <v>139</v>
      </c>
      <c r="C12" s="113"/>
      <c r="D12" s="114"/>
      <c r="E12" s="113"/>
      <c r="F12" s="113"/>
      <c r="G12" s="113"/>
      <c r="H12" s="113"/>
      <c r="I12" s="113"/>
      <c r="J12" s="113"/>
    </row>
    <row r="13" spans="2:10">
      <c r="C13" t="s">
        <v>140</v>
      </c>
      <c r="G13" s="115" t="s">
        <v>4</v>
      </c>
      <c r="H13" s="121"/>
      <c r="I13" s="122">
        <f>CF!J47</f>
        <v>1132080.9377127187</v>
      </c>
      <c r="J13" s="106">
        <v>0</v>
      </c>
    </row>
    <row r="14" spans="2:10">
      <c r="C14" t="s">
        <v>117</v>
      </c>
      <c r="G14" s="116" t="s">
        <v>8</v>
      </c>
      <c r="H14" s="124"/>
      <c r="I14" s="139">
        <f>CF!J48</f>
        <v>0.16796104163771192</v>
      </c>
      <c r="J14" s="140"/>
    </row>
    <row r="15" spans="2:10">
      <c r="C15" t="s">
        <v>88</v>
      </c>
      <c r="G15" s="116" t="s">
        <v>8</v>
      </c>
      <c r="H15" s="124"/>
      <c r="I15" s="139">
        <f>CF!J45</f>
        <v>5.1794594594594595E-2</v>
      </c>
      <c r="J15" s="140"/>
    </row>
    <row r="16" spans="2:10">
      <c r="C16" t="s">
        <v>118</v>
      </c>
      <c r="G16" s="116" t="s">
        <v>145</v>
      </c>
      <c r="H16" s="127"/>
      <c r="I16" s="128">
        <f>I14/I15</f>
        <v>3.2428295452908271</v>
      </c>
      <c r="J16" s="106">
        <v>1</v>
      </c>
    </row>
    <row r="17" spans="2:13">
      <c r="C17" t="s">
        <v>144</v>
      </c>
      <c r="G17" s="116" t="s">
        <v>72</v>
      </c>
      <c r="H17" s="129"/>
      <c r="I17" s="130">
        <f>CF!J54</f>
        <v>8.0394958381380377</v>
      </c>
      <c r="J17" s="106">
        <f>Источники_Долг_WACC!E43</f>
        <v>15</v>
      </c>
    </row>
    <row r="18" spans="2:13" s="110" customFormat="1">
      <c r="B18" s="117" t="s">
        <v>141</v>
      </c>
      <c r="C18" s="113"/>
      <c r="D18" s="114"/>
      <c r="E18" s="113"/>
      <c r="F18" s="113"/>
      <c r="G18" s="113"/>
      <c r="H18" s="113" t="s">
        <v>142</v>
      </c>
      <c r="I18" s="113" t="s">
        <v>143</v>
      </c>
      <c r="J18" s="113"/>
    </row>
    <row r="19" spans="2:13">
      <c r="C19" t="s">
        <v>110</v>
      </c>
      <c r="G19" s="115" t="s">
        <v>145</v>
      </c>
      <c r="H19" s="131">
        <f>MIN(CF!L37:AO37)</f>
        <v>1.2061295156276957</v>
      </c>
      <c r="I19" s="132">
        <f>AVERAGE(CF!L37:AO37)</f>
        <v>2.4517077059621055</v>
      </c>
      <c r="J19" s="106">
        <v>1.05</v>
      </c>
      <c r="M19" s="149"/>
    </row>
    <row r="20" spans="2:13">
      <c r="C20" t="s">
        <v>115</v>
      </c>
      <c r="G20" s="116" t="s">
        <v>145</v>
      </c>
      <c r="H20" s="127">
        <f>CF!J42</f>
        <v>2.0078296981702293</v>
      </c>
      <c r="I20" s="128">
        <f>AVERAGE(CF!L42:AO42)</f>
        <v>2.041342610970132</v>
      </c>
      <c r="J20" s="106">
        <v>1</v>
      </c>
      <c r="M20" s="149"/>
    </row>
    <row r="39" spans="7:7" s="186" customFormat="1">
      <c r="G39" s="185"/>
    </row>
    <row r="40" spans="7:7" s="186" customFormat="1">
      <c r="G40" s="185"/>
    </row>
    <row r="41" spans="7:7" s="186" customFormat="1">
      <c r="G41" s="185"/>
    </row>
    <row r="42" spans="7:7" s="186" customFormat="1">
      <c r="G42" s="185"/>
    </row>
    <row r="43" spans="7:7" s="186" customFormat="1">
      <c r="G43" s="185"/>
    </row>
    <row r="44" spans="7:7" s="186" customFormat="1">
      <c r="G44" s="185"/>
    </row>
    <row r="45" spans="7:7" s="186" customFormat="1">
      <c r="G45" s="185"/>
    </row>
    <row r="46" spans="7:7" s="186" customFormat="1">
      <c r="G46" s="185"/>
    </row>
    <row r="47" spans="7:7" s="186" customFormat="1">
      <c r="G47" s="185"/>
    </row>
    <row r="48" spans="7:7" s="186" customFormat="1">
      <c r="G48" s="185"/>
    </row>
    <row r="49" spans="7:7" s="186" customFormat="1">
      <c r="G49" s="185"/>
    </row>
    <row r="50" spans="7:7" s="186" customFormat="1">
      <c r="G50" s="185"/>
    </row>
    <row r="51" spans="7:7" s="186" customFormat="1">
      <c r="G51" s="185"/>
    </row>
    <row r="52" spans="7:7" s="186" customFormat="1">
      <c r="G52" s="185"/>
    </row>
    <row r="53" spans="7:7" s="186" customFormat="1">
      <c r="G53" s="185"/>
    </row>
    <row r="54" spans="7:7" s="186" customFormat="1">
      <c r="G54" s="185"/>
    </row>
    <row r="55" spans="7:7" s="186" customFormat="1">
      <c r="G55" s="185"/>
    </row>
    <row r="56" spans="7:7" s="186" customFormat="1">
      <c r="G56" s="185"/>
    </row>
    <row r="57" spans="7:7" s="186" customFormat="1">
      <c r="G57" s="185"/>
    </row>
    <row r="58" spans="7:7" s="186" customFormat="1">
      <c r="G58" s="185"/>
    </row>
    <row r="59" spans="7:7" s="186" customFormat="1">
      <c r="G59" s="185"/>
    </row>
    <row r="60" spans="7:7" s="186" customFormat="1">
      <c r="G60" s="185"/>
    </row>
    <row r="61" spans="7:7" s="186" customFormat="1">
      <c r="G61" s="185"/>
    </row>
    <row r="62" spans="7:7" s="186" customFormat="1">
      <c r="G62" s="185"/>
    </row>
    <row r="63" spans="7:7" s="186" customFormat="1">
      <c r="G63" s="185"/>
    </row>
    <row r="64" spans="7:7" s="186" customFormat="1">
      <c r="G64" s="185"/>
    </row>
    <row r="65" spans="7:7" s="186" customFormat="1">
      <c r="G65" s="185"/>
    </row>
    <row r="66" spans="7:7" s="186" customFormat="1">
      <c r="G66" s="185"/>
    </row>
    <row r="67" spans="7:7" s="186" customFormat="1">
      <c r="G67" s="185"/>
    </row>
    <row r="68" spans="7:7" s="186" customFormat="1">
      <c r="G68" s="185"/>
    </row>
    <row r="69" spans="7:7" s="186" customFormat="1">
      <c r="G69" s="185"/>
    </row>
    <row r="70" spans="7:7" s="186" customFormat="1">
      <c r="G70" s="185"/>
    </row>
    <row r="71" spans="7:7" s="186" customFormat="1">
      <c r="G71" s="185"/>
    </row>
    <row r="72" spans="7:7" s="186" customFormat="1">
      <c r="G72" s="185"/>
    </row>
    <row r="73" spans="7:7" s="186" customFormat="1">
      <c r="G73" s="185"/>
    </row>
    <row r="74" spans="7:7" s="186" customFormat="1">
      <c r="G74" s="185"/>
    </row>
    <row r="75" spans="7:7" s="186" customFormat="1">
      <c r="G75" s="185"/>
    </row>
    <row r="76" spans="7:7" s="186" customFormat="1">
      <c r="G76" s="185"/>
    </row>
    <row r="77" spans="7:7" s="186" customFormat="1">
      <c r="G77" s="185"/>
    </row>
    <row r="78" spans="7:7" s="186" customFormat="1">
      <c r="G78" s="185"/>
    </row>
    <row r="79" spans="7:7" s="186" customFormat="1">
      <c r="G79" s="185"/>
    </row>
    <row r="80" spans="7:7" s="186" customFormat="1">
      <c r="G80" s="185"/>
    </row>
    <row r="81" spans="7:7" s="186" customFormat="1">
      <c r="G81" s="185"/>
    </row>
    <row r="82" spans="7:7" s="186" customFormat="1">
      <c r="G82" s="185"/>
    </row>
    <row r="83" spans="7:7" s="186" customFormat="1">
      <c r="G83" s="185"/>
    </row>
    <row r="84" spans="7:7" s="186" customFormat="1">
      <c r="G84" s="185"/>
    </row>
    <row r="85" spans="7:7" s="186" customFormat="1">
      <c r="G85" s="185"/>
    </row>
    <row r="86" spans="7:7" s="186" customFormat="1">
      <c r="G86" s="185"/>
    </row>
  </sheetData>
  <sheetProtection password="F585" sheet="1" scenarios="1" formatCells="0" formatColumns="0" formatRows="0"/>
  <customSheetViews>
    <customSheetView guid="{7D5A2C9F-3ABE-4F29-B54C-C3E3AA98CA69}" scale="85" showPageBreaks="1" fitToPage="1" printArea="1" view="pageBreakPreview">
      <selection activeCell="N33" sqref="N33"/>
      <pageMargins left="0.19685039370078741" right="0.19685039370078741" top="0.74803149606299213" bottom="0.74803149606299213" header="0.31496062992125984" footer="0.31496062992125984"/>
      <printOptions horizontalCentered="1"/>
      <pageSetup paperSize="9" orientation="portrait" horizontalDpi="0" verticalDpi="0" r:id="rId1"/>
    </customSheetView>
  </customSheetViews>
  <conditionalFormatting sqref="I8">
    <cfRule type="cellIs" dxfId="17" priority="18" operator="lessThan">
      <formula>$J$8</formula>
    </cfRule>
    <cfRule type="cellIs" dxfId="16" priority="19" operator="greaterThanOrEqual">
      <formula>$J$8</formula>
    </cfRule>
  </conditionalFormatting>
  <conditionalFormatting sqref="I9">
    <cfRule type="cellIs" dxfId="15" priority="16" operator="lessThanOrEqual">
      <formula>$J$9</formula>
    </cfRule>
    <cfRule type="cellIs" dxfId="14" priority="17" operator="greaterThan">
      <formula>$J$9</formula>
    </cfRule>
  </conditionalFormatting>
  <conditionalFormatting sqref="I10">
    <cfRule type="cellIs" dxfId="13" priority="14" operator="lessThanOrEqual">
      <formula>$J$10</formula>
    </cfRule>
    <cfRule type="cellIs" dxfId="12" priority="15" operator="greaterThan">
      <formula>$J$10</formula>
    </cfRule>
  </conditionalFormatting>
  <conditionalFormatting sqref="I11">
    <cfRule type="cellIs" dxfId="11" priority="12" operator="lessThanOrEqual">
      <formula>$J$11</formula>
    </cfRule>
    <cfRule type="cellIs" dxfId="10" priority="13" operator="greaterThan">
      <formula>$J$11</formula>
    </cfRule>
  </conditionalFormatting>
  <conditionalFormatting sqref="I13">
    <cfRule type="cellIs" dxfId="1" priority="6" operator="lessThanOrEqual">
      <formula>$J$13</formula>
    </cfRule>
    <cfRule type="cellIs" dxfId="0" priority="11" operator="greaterThan">
      <formula>$J$13</formula>
    </cfRule>
  </conditionalFormatting>
  <conditionalFormatting sqref="I16">
    <cfRule type="cellIs" dxfId="9" priority="5" operator="lessThan">
      <formula>1</formula>
    </cfRule>
    <cfRule type="cellIs" dxfId="8" priority="9" operator="greaterThanOrEqual">
      <formula>$J$16</formula>
    </cfRule>
  </conditionalFormatting>
  <conditionalFormatting sqref="H19">
    <cfRule type="cellIs" dxfId="7" priority="7" operator="greaterThanOrEqual">
      <formula>$J$19</formula>
    </cfRule>
    <cfRule type="cellIs" dxfId="6" priority="8" operator="lessThan">
      <formula>$J$19</formula>
    </cfRule>
  </conditionalFormatting>
  <conditionalFormatting sqref="I17">
    <cfRule type="cellIs" dxfId="5" priority="4" operator="lessThanOrEqual">
      <formula>$J$17</formula>
    </cfRule>
    <cfRule type="cellIs" dxfId="4" priority="3" operator="greaterThan">
      <formula>$J$17</formula>
    </cfRule>
  </conditionalFormatting>
  <conditionalFormatting sqref="H20">
    <cfRule type="cellIs" dxfId="3" priority="2" operator="greaterThanOrEqual">
      <formula>$J$20</formula>
    </cfRule>
    <cfRule type="cellIs" dxfId="2" priority="1" operator="lessThan">
      <formula>$J$20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D4:AF33"/>
  <sheetViews>
    <sheetView topLeftCell="C19" zoomScale="85" zoomScaleNormal="85" workbookViewId="0">
      <selection activeCell="T68" sqref="T68"/>
    </sheetView>
  </sheetViews>
  <sheetFormatPr defaultRowHeight="15"/>
  <cols>
    <col min="8" max="8" width="10.7109375" bestFit="1" customWidth="1"/>
    <col min="9" max="12" width="12.28515625" bestFit="1" customWidth="1"/>
    <col min="13" max="17" width="10.7109375" bestFit="1" customWidth="1"/>
    <col min="18" max="21" width="11.28515625" bestFit="1" customWidth="1"/>
    <col min="22" max="23" width="10.7109375" bestFit="1" customWidth="1"/>
    <col min="24" max="30" width="9.7109375" bestFit="1" customWidth="1"/>
    <col min="31" max="32" width="10.5703125" bestFit="1" customWidth="1"/>
  </cols>
  <sheetData>
    <row r="4" spans="4:32">
      <c r="D4" t="s">
        <v>146</v>
      </c>
    </row>
    <row r="5" spans="4:32">
      <c r="E5" t="s">
        <v>78</v>
      </c>
    </row>
    <row r="6" spans="4:32">
      <c r="E6" t="s">
        <v>79</v>
      </c>
    </row>
    <row r="7" spans="4:32">
      <c r="E7" t="s">
        <v>81</v>
      </c>
    </row>
    <row r="8" spans="4:32">
      <c r="D8" t="s">
        <v>75</v>
      </c>
    </row>
    <row r="9" spans="4:32">
      <c r="E9" t="s">
        <v>78</v>
      </c>
    </row>
    <row r="10" spans="4:32">
      <c r="E10" t="s">
        <v>79</v>
      </c>
    </row>
    <row r="11" spans="4:32">
      <c r="E11" t="s">
        <v>81</v>
      </c>
    </row>
    <row r="12" spans="4:32">
      <c r="D12" t="s">
        <v>76</v>
      </c>
    </row>
    <row r="15" spans="4:32">
      <c r="D15" t="s">
        <v>78</v>
      </c>
      <c r="H15">
        <f>Источники_Долг_WACC!L1</f>
        <v>2022</v>
      </c>
      <c r="I15">
        <f>Источники_Долг_WACC!M1</f>
        <v>2023</v>
      </c>
      <c r="J15">
        <f>Источники_Долг_WACC!N1</f>
        <v>2024</v>
      </c>
      <c r="K15">
        <f>Источники_Долг_WACC!O1</f>
        <v>2025</v>
      </c>
      <c r="L15">
        <f>Источники_Долг_WACC!P1</f>
        <v>2026</v>
      </c>
      <c r="M15">
        <f>Источники_Долг_WACC!Q1</f>
        <v>2027</v>
      </c>
      <c r="N15">
        <f>Источники_Долг_WACC!R1</f>
        <v>2028</v>
      </c>
      <c r="O15">
        <f>Источники_Долг_WACC!S1</f>
        <v>2029</v>
      </c>
      <c r="P15">
        <f>Источники_Долг_WACC!T1</f>
        <v>2030</v>
      </c>
      <c r="Q15">
        <f>Источники_Долг_WACC!U1</f>
        <v>2031</v>
      </c>
      <c r="R15">
        <f>Источники_Долг_WACC!V1</f>
        <v>2032</v>
      </c>
      <c r="S15">
        <f>Источники_Долг_WACC!W1</f>
        <v>2033</v>
      </c>
      <c r="T15">
        <f>Источники_Долг_WACC!X1</f>
        <v>2034</v>
      </c>
      <c r="U15">
        <f>Источники_Долг_WACC!Y1</f>
        <v>2035</v>
      </c>
      <c r="V15">
        <f>Источники_Долг_WACC!Z1</f>
        <v>2036</v>
      </c>
      <c r="W15">
        <f>Источники_Долг_WACC!AA1</f>
        <v>2037</v>
      </c>
      <c r="X15">
        <f>Источники_Долг_WACC!AB1</f>
        <v>2038</v>
      </c>
      <c r="Y15">
        <f>Источники_Долг_WACC!AC1</f>
        <v>2039</v>
      </c>
      <c r="Z15">
        <f>Источники_Долг_WACC!AD1</f>
        <v>2040</v>
      </c>
      <c r="AA15">
        <f>Источники_Долг_WACC!AE1</f>
        <v>2041</v>
      </c>
      <c r="AB15">
        <f>Источники_Долг_WACC!AF1</f>
        <v>2042</v>
      </c>
      <c r="AC15">
        <f>Источники_Долг_WACC!AG1</f>
        <v>2043</v>
      </c>
      <c r="AD15">
        <f>Источники_Долг_WACC!AH1</f>
        <v>2044</v>
      </c>
      <c r="AE15">
        <f>Источники_Долг_WACC!AI1</f>
        <v>2045</v>
      </c>
      <c r="AF15">
        <f>Источники_Долг_WACC!AJ1</f>
        <v>2046</v>
      </c>
    </row>
    <row r="16" spans="4:32">
      <c r="E16" t="s">
        <v>92</v>
      </c>
      <c r="H16" s="108">
        <f>Источники_Долг_WACC!L11</f>
        <v>140000</v>
      </c>
      <c r="I16" s="108">
        <f>Источники_Долг_WACC!M11</f>
        <v>30000</v>
      </c>
      <c r="J16" s="108">
        <f>Источники_Долг_WACC!N11</f>
        <v>0</v>
      </c>
      <c r="K16" s="108">
        <f>Источники_Долг_WACC!O11</f>
        <v>0</v>
      </c>
      <c r="L16" s="108">
        <f>Источники_Долг_WACC!P11</f>
        <v>0</v>
      </c>
      <c r="M16" s="108">
        <f>Источники_Долг_WACC!Q11</f>
        <v>0</v>
      </c>
      <c r="N16" s="108">
        <f>Источники_Долг_WACC!R11</f>
        <v>0</v>
      </c>
      <c r="O16" s="108">
        <f>Источники_Долг_WACC!S11</f>
        <v>0</v>
      </c>
      <c r="P16" s="108">
        <f>Источники_Долг_WACC!T11</f>
        <v>0</v>
      </c>
      <c r="Q16" s="108">
        <f>Источники_Долг_WACC!U11</f>
        <v>0</v>
      </c>
      <c r="R16" s="108">
        <f>Источники_Долг_WACC!V11</f>
        <v>0</v>
      </c>
      <c r="S16" s="108">
        <f>Источники_Долг_WACC!W11</f>
        <v>0</v>
      </c>
      <c r="T16" s="108">
        <f>Источники_Долг_WACC!X11</f>
        <v>0</v>
      </c>
      <c r="U16" s="108">
        <f>Источники_Долг_WACC!Y11</f>
        <v>0</v>
      </c>
      <c r="V16" s="108">
        <f>Источники_Долг_WACC!Z11</f>
        <v>0</v>
      </c>
      <c r="W16" s="108">
        <f>Источники_Долг_WACC!AA11</f>
        <v>0</v>
      </c>
      <c r="X16" s="108">
        <f>Источники_Долг_WACC!AB11</f>
        <v>0</v>
      </c>
      <c r="Y16" s="108">
        <f>Источники_Долг_WACC!AC11</f>
        <v>0</v>
      </c>
      <c r="Z16" s="108">
        <f>Источники_Долг_WACC!AD11</f>
        <v>0</v>
      </c>
      <c r="AA16" s="108">
        <f>Источники_Долг_WACC!AE11</f>
        <v>0</v>
      </c>
      <c r="AB16" s="108">
        <f>Источники_Долг_WACC!AF11</f>
        <v>0</v>
      </c>
      <c r="AC16" s="108">
        <f>Источники_Долг_WACC!AG11</f>
        <v>0</v>
      </c>
      <c r="AD16" s="108">
        <f>Источники_Долг_WACC!AH11</f>
        <v>0</v>
      </c>
      <c r="AE16" s="108">
        <f>Источники_Долг_WACC!AI11</f>
        <v>0</v>
      </c>
      <c r="AF16" s="108">
        <f>Источники_Долг_WACC!AJ11</f>
        <v>0</v>
      </c>
    </row>
    <row r="17" spans="4:32">
      <c r="E17" t="s">
        <v>75</v>
      </c>
      <c r="H17" s="108">
        <f>Источники_Долг_WACC!L22</f>
        <v>720000</v>
      </c>
      <c r="I17" s="108">
        <f>Источники_Долг_WACC!M22</f>
        <v>240000</v>
      </c>
      <c r="J17" s="108">
        <f>Источники_Долг_WACC!N22</f>
        <v>150000</v>
      </c>
      <c r="K17" s="108">
        <f>Источники_Долг_WACC!O22</f>
        <v>0</v>
      </c>
      <c r="L17" s="108">
        <f>Источники_Долг_WACC!P22</f>
        <v>0</v>
      </c>
      <c r="M17" s="108">
        <f>Источники_Долг_WACC!Q22</f>
        <v>0</v>
      </c>
      <c r="N17" s="108">
        <f>Источники_Долг_WACC!R22</f>
        <v>0</v>
      </c>
      <c r="O17" s="108">
        <f>Источники_Долг_WACC!S22</f>
        <v>0</v>
      </c>
      <c r="P17" s="108">
        <f>Источники_Долг_WACC!T22</f>
        <v>0</v>
      </c>
      <c r="Q17" s="108">
        <f>Источники_Долг_WACC!U22</f>
        <v>0</v>
      </c>
      <c r="R17" s="108">
        <f>Источники_Долг_WACC!V22</f>
        <v>0</v>
      </c>
      <c r="S17" s="108">
        <f>Источники_Долг_WACC!W22</f>
        <v>0</v>
      </c>
      <c r="T17" s="108">
        <f>Источники_Долг_WACC!X22</f>
        <v>0</v>
      </c>
      <c r="U17" s="108">
        <f>Источники_Долг_WACC!Y22</f>
        <v>0</v>
      </c>
      <c r="V17" s="108">
        <f>Источники_Долг_WACC!Z22</f>
        <v>0</v>
      </c>
      <c r="W17" s="108">
        <f>Источники_Долг_WACC!AA22</f>
        <v>0</v>
      </c>
      <c r="X17" s="108">
        <f>Источники_Долг_WACC!AB22</f>
        <v>0</v>
      </c>
      <c r="Y17" s="108">
        <f>Источники_Долг_WACC!AC22</f>
        <v>0</v>
      </c>
      <c r="Z17" s="108">
        <f>Источники_Долг_WACC!AD22</f>
        <v>0</v>
      </c>
      <c r="AA17" s="108">
        <f>Источники_Долг_WACC!AE22</f>
        <v>0</v>
      </c>
      <c r="AB17" s="108">
        <f>Источники_Долг_WACC!AF22</f>
        <v>0</v>
      </c>
      <c r="AC17" s="108">
        <f>Источники_Долг_WACC!AG22</f>
        <v>0</v>
      </c>
      <c r="AD17" s="108">
        <f>Источники_Долг_WACC!AH22</f>
        <v>0</v>
      </c>
      <c r="AE17" s="108">
        <f>Источники_Долг_WACC!AI22</f>
        <v>0</v>
      </c>
      <c r="AF17" s="108">
        <f>Источники_Долг_WACC!AJ22</f>
        <v>0</v>
      </c>
    </row>
    <row r="18" spans="4:32">
      <c r="E18" t="s">
        <v>76</v>
      </c>
      <c r="H18" s="108">
        <f>Источники_Долг_WACC!L70</f>
        <v>120000</v>
      </c>
      <c r="I18" s="108">
        <f>Источники_Долг_WACC!M70</f>
        <v>40000</v>
      </c>
      <c r="J18" s="108">
        <f>Источники_Долг_WACC!N70</f>
        <v>25000</v>
      </c>
      <c r="K18" s="108">
        <f>Источники_Долг_WACC!O70</f>
        <v>0</v>
      </c>
      <c r="L18" s="108">
        <f>Источники_Долг_WACC!P70</f>
        <v>0</v>
      </c>
      <c r="M18" s="108">
        <f>Источники_Долг_WACC!Q70</f>
        <v>0</v>
      </c>
      <c r="N18" s="108">
        <f>Источники_Долг_WACC!R70</f>
        <v>0</v>
      </c>
      <c r="O18" s="108">
        <f>Источники_Долг_WACC!S70</f>
        <v>0</v>
      </c>
      <c r="P18" s="108">
        <f>Источники_Долг_WACC!T70</f>
        <v>0</v>
      </c>
      <c r="Q18" s="108">
        <f>Источники_Долг_WACC!U70</f>
        <v>0</v>
      </c>
      <c r="R18" s="108">
        <f>Источники_Долг_WACC!V70</f>
        <v>0</v>
      </c>
      <c r="S18" s="108">
        <f>Источники_Долг_WACC!W70</f>
        <v>0</v>
      </c>
      <c r="T18" s="108">
        <f>Источники_Долг_WACC!X70</f>
        <v>0</v>
      </c>
      <c r="U18" s="108">
        <f>Источники_Долг_WACC!Y70</f>
        <v>0</v>
      </c>
      <c r="V18" s="108">
        <f>Источники_Долг_WACC!Z70</f>
        <v>0</v>
      </c>
      <c r="W18" s="108">
        <f>Источники_Долг_WACC!AA70</f>
        <v>0</v>
      </c>
      <c r="X18" s="108">
        <f>Источники_Долг_WACC!AB70</f>
        <v>0</v>
      </c>
      <c r="Y18" s="108">
        <f>Источники_Долг_WACC!AC70</f>
        <v>0</v>
      </c>
      <c r="Z18" s="108">
        <f>Источники_Долг_WACC!AD70</f>
        <v>0</v>
      </c>
      <c r="AA18" s="108">
        <f>Источники_Долг_WACC!AE70</f>
        <v>0</v>
      </c>
      <c r="AB18" s="108">
        <f>Источники_Долг_WACC!AF70</f>
        <v>0</v>
      </c>
      <c r="AC18" s="108">
        <f>Источники_Долг_WACC!AG70</f>
        <v>0</v>
      </c>
      <c r="AD18" s="108">
        <f>Источники_Долг_WACC!AH70</f>
        <v>0</v>
      </c>
      <c r="AE18" s="108">
        <f>Источники_Долг_WACC!AI70</f>
        <v>0</v>
      </c>
      <c r="AF18" s="108">
        <f>Источники_Долг_WACC!AJ70</f>
        <v>0</v>
      </c>
    </row>
    <row r="19" spans="4:32">
      <c r="D19" t="s">
        <v>79</v>
      </c>
    </row>
    <row r="20" spans="4:32">
      <c r="E20" t="s">
        <v>92</v>
      </c>
      <c r="H20" s="108">
        <f>Источники_Долг_WACC!L12</f>
        <v>0</v>
      </c>
      <c r="I20" s="108">
        <f>Источники_Долг_WACC!M12</f>
        <v>0</v>
      </c>
      <c r="J20" s="108">
        <f>Источники_Долг_WACC!N12</f>
        <v>-42500</v>
      </c>
      <c r="K20" s="108">
        <f>Источники_Долг_WACC!O12</f>
        <v>-42500</v>
      </c>
      <c r="L20" s="108">
        <f>Источники_Долг_WACC!P12</f>
        <v>-42500</v>
      </c>
      <c r="M20" s="108">
        <f>Источники_Долг_WACC!Q12</f>
        <v>-42500</v>
      </c>
      <c r="N20" s="108">
        <f>Источники_Долг_WACC!R12</f>
        <v>0</v>
      </c>
      <c r="O20" s="108">
        <f>Источники_Долг_WACC!S12</f>
        <v>0</v>
      </c>
      <c r="P20" s="108">
        <f>Источники_Долг_WACC!T12</f>
        <v>0</v>
      </c>
      <c r="Q20" s="108">
        <f>Источники_Долг_WACC!U12</f>
        <v>0</v>
      </c>
      <c r="R20" s="108">
        <f>Источники_Долг_WACC!V12</f>
        <v>0</v>
      </c>
      <c r="S20" s="108">
        <f>Источники_Долг_WACC!W12</f>
        <v>0</v>
      </c>
      <c r="T20" s="108">
        <f>Источники_Долг_WACC!X12</f>
        <v>0</v>
      </c>
      <c r="U20" s="108">
        <f>Источники_Долг_WACC!Y12</f>
        <v>0</v>
      </c>
      <c r="V20" s="108">
        <f>Источники_Долг_WACC!Z12</f>
        <v>0</v>
      </c>
      <c r="W20" s="108">
        <f>Источники_Долг_WACC!AA12</f>
        <v>0</v>
      </c>
      <c r="X20" s="108">
        <f>Источники_Долг_WACC!AB12</f>
        <v>0</v>
      </c>
      <c r="Y20" s="108">
        <f>Источники_Долг_WACC!AC12</f>
        <v>0</v>
      </c>
      <c r="Z20" s="108">
        <f>Источники_Долг_WACC!AD12</f>
        <v>0</v>
      </c>
      <c r="AA20" s="108">
        <f>Источники_Долг_WACC!AE12</f>
        <v>0</v>
      </c>
      <c r="AB20" s="108">
        <f>Источники_Долг_WACC!AF12</f>
        <v>0</v>
      </c>
      <c r="AC20" s="108">
        <f>Источники_Долг_WACC!AG12</f>
        <v>0</v>
      </c>
      <c r="AD20" s="108">
        <f>Источники_Долг_WACC!AH12</f>
        <v>0</v>
      </c>
      <c r="AE20" s="108">
        <f>Источники_Долг_WACC!AI12</f>
        <v>0</v>
      </c>
      <c r="AF20" s="108">
        <f>Источники_Долг_WACC!AJ12</f>
        <v>0</v>
      </c>
    </row>
    <row r="21" spans="4:32">
      <c r="E21" t="s">
        <v>75</v>
      </c>
      <c r="H21" s="108">
        <f>Источники_Долг_WACC!L23</f>
        <v>0</v>
      </c>
      <c r="I21" s="108">
        <f>Источники_Долг_WACC!M23</f>
        <v>0</v>
      </c>
      <c r="J21" s="108">
        <f>Источники_Долг_WACC!N23</f>
        <v>0</v>
      </c>
      <c r="K21" s="108">
        <f>Источники_Долг_WACC!O23</f>
        <v>0</v>
      </c>
      <c r="L21" s="108">
        <f>Источники_Долг_WACC!P23</f>
        <v>-56215.762445082597</v>
      </c>
      <c r="M21" s="108">
        <f>Источники_Долг_WACC!Q23</f>
        <v>-78837.556903673394</v>
      </c>
      <c r="N21" s="108">
        <f>Источники_Долг_WACC!R23</f>
        <v>-95967.762163499094</v>
      </c>
      <c r="O21" s="108">
        <f>Источники_Долг_WACC!S23</f>
        <v>-98846.795028404071</v>
      </c>
      <c r="P21" s="108">
        <f>Источники_Долг_WACC!T23</f>
        <v>-101812.1988792562</v>
      </c>
      <c r="Q21" s="108">
        <f>Источники_Долг_WACC!U23</f>
        <v>-104866.56484563387</v>
      </c>
      <c r="R21" s="108">
        <f>Источники_Долг_WACC!V23</f>
        <v>-108012.5617910029</v>
      </c>
      <c r="S21" s="108">
        <f>Источники_Долг_WACC!W23</f>
        <v>-111252.93864473297</v>
      </c>
      <c r="T21" s="108">
        <f>Источники_Долг_WACC!X23</f>
        <v>-114590.52680407497</v>
      </c>
      <c r="U21" s="108">
        <f>Источники_Долг_WACC!Y23</f>
        <v>-118028.24260819722</v>
      </c>
      <c r="V21" s="108">
        <f>Источники_Долг_WACC!Z23</f>
        <v>-121569.08988644314</v>
      </c>
      <c r="W21" s="108">
        <f>Источники_Долг_WACC!AA23</f>
        <v>0</v>
      </c>
      <c r="X21" s="108">
        <f>Источники_Долг_WACC!AB23</f>
        <v>0</v>
      </c>
      <c r="Y21" s="108">
        <f>Источники_Долг_WACC!AC23</f>
        <v>0</v>
      </c>
      <c r="Z21" s="108">
        <f>Источники_Долг_WACC!AD23</f>
        <v>0</v>
      </c>
      <c r="AA21" s="108">
        <f>Источники_Долг_WACC!AE23</f>
        <v>0</v>
      </c>
      <c r="AB21" s="108">
        <f>Источники_Долг_WACC!AF23</f>
        <v>0</v>
      </c>
      <c r="AC21" s="108">
        <f>Источники_Долг_WACC!AG23</f>
        <v>0</v>
      </c>
      <c r="AD21" s="108">
        <f>Источники_Долг_WACC!AH23</f>
        <v>0</v>
      </c>
      <c r="AE21" s="108">
        <f>Источники_Долг_WACC!AI23</f>
        <v>0</v>
      </c>
      <c r="AF21" s="108">
        <f>Источники_Долг_WACC!AJ23</f>
        <v>0</v>
      </c>
    </row>
    <row r="22" spans="4:32">
      <c r="E22" t="s">
        <v>76</v>
      </c>
      <c r="H22" s="108">
        <f>Источники_Долг_WACC!L71</f>
        <v>0</v>
      </c>
      <c r="I22" s="108">
        <f>Источники_Долг_WACC!M71</f>
        <v>-37000</v>
      </c>
      <c r="J22" s="108">
        <f>Источники_Долг_WACC!N71</f>
        <v>-37000</v>
      </c>
      <c r="K22" s="108">
        <f>Источники_Долг_WACC!O71</f>
        <v>-37000</v>
      </c>
      <c r="L22" s="108">
        <f>Источники_Долг_WACC!P71</f>
        <v>-37000</v>
      </c>
      <c r="M22" s="108">
        <f>Источники_Долг_WACC!Q71</f>
        <v>-37000</v>
      </c>
      <c r="N22" s="108">
        <f>Источники_Долг_WACC!R71</f>
        <v>0</v>
      </c>
      <c r="O22" s="108">
        <f>Источники_Долг_WACC!S71</f>
        <v>0</v>
      </c>
      <c r="P22" s="108">
        <f>Источники_Долг_WACC!T71</f>
        <v>0</v>
      </c>
      <c r="Q22" s="108">
        <f>Источники_Долг_WACC!U71</f>
        <v>0</v>
      </c>
      <c r="R22" s="108">
        <f>Источники_Долг_WACC!V71</f>
        <v>0</v>
      </c>
      <c r="S22" s="108">
        <f>Источники_Долг_WACC!W71</f>
        <v>0</v>
      </c>
      <c r="T22" s="108">
        <f>Источники_Долг_WACC!X71</f>
        <v>0</v>
      </c>
      <c r="U22" s="108">
        <f>Источники_Долг_WACC!Y71</f>
        <v>0</v>
      </c>
      <c r="V22" s="108">
        <f>Источники_Долг_WACC!Z71</f>
        <v>0</v>
      </c>
      <c r="W22" s="108">
        <f>Источники_Долг_WACC!AA71</f>
        <v>0</v>
      </c>
      <c r="X22" s="108">
        <f>Источники_Долг_WACC!AB71</f>
        <v>0</v>
      </c>
      <c r="Y22" s="108">
        <f>Источники_Долг_WACC!AC71</f>
        <v>0</v>
      </c>
      <c r="Z22" s="108">
        <f>Источники_Долг_WACC!AD71</f>
        <v>0</v>
      </c>
      <c r="AA22" s="108">
        <f>Источники_Долг_WACC!AE71</f>
        <v>0</v>
      </c>
      <c r="AB22" s="108">
        <f>Источники_Долг_WACC!AF71</f>
        <v>0</v>
      </c>
      <c r="AC22" s="108">
        <f>Источники_Долг_WACC!AG71</f>
        <v>0</v>
      </c>
      <c r="AD22" s="108">
        <f>Источники_Долг_WACC!AH71</f>
        <v>0</v>
      </c>
      <c r="AE22" s="108">
        <f>Источники_Долг_WACC!AI71</f>
        <v>0</v>
      </c>
      <c r="AF22" s="108">
        <f>Источники_Долг_WACC!AJ71</f>
        <v>0</v>
      </c>
    </row>
    <row r="23" spans="4:32">
      <c r="D23" t="s">
        <v>81</v>
      </c>
      <c r="E23" t="s">
        <v>81</v>
      </c>
      <c r="H23" s="108">
        <f>SUM(H24:H26)</f>
        <v>-28000</v>
      </c>
      <c r="I23" s="108">
        <f t="shared" ref="I23:AF23" si="0">SUM(I24:I26)</f>
        <v>-51027.5</v>
      </c>
      <c r="J23" s="108">
        <f t="shared" si="0"/>
        <v>-55870</v>
      </c>
      <c r="K23" s="108">
        <f t="shared" si="0"/>
        <v>-51787.5</v>
      </c>
      <c r="L23" s="108">
        <f t="shared" si="0"/>
        <v>-43549.3</v>
      </c>
      <c r="M23" s="108">
        <f t="shared" si="0"/>
        <v>-34128.5</v>
      </c>
      <c r="N23" s="108">
        <f t="shared" si="0"/>
        <v>-27808.9</v>
      </c>
      <c r="O23" s="108">
        <f t="shared" si="0"/>
        <v>-24886.7</v>
      </c>
      <c r="P23" s="108">
        <f t="shared" si="0"/>
        <v>-21876.799999999999</v>
      </c>
      <c r="Q23" s="108">
        <f t="shared" si="0"/>
        <v>-18776.599999999999</v>
      </c>
      <c r="R23" s="108">
        <f t="shared" si="0"/>
        <v>-15583.4</v>
      </c>
      <c r="S23" s="108">
        <f t="shared" si="0"/>
        <v>-12294.4</v>
      </c>
      <c r="T23" s="108">
        <f t="shared" si="0"/>
        <v>-8906.7999999999993</v>
      </c>
      <c r="U23" s="108">
        <f t="shared" si="0"/>
        <v>-5417.5</v>
      </c>
      <c r="V23" s="108">
        <f t="shared" si="0"/>
        <v>-1823.5</v>
      </c>
      <c r="W23" s="108">
        <f t="shared" si="0"/>
        <v>0</v>
      </c>
      <c r="X23" s="108">
        <f t="shared" si="0"/>
        <v>0</v>
      </c>
      <c r="Y23" s="108">
        <f t="shared" si="0"/>
        <v>0</v>
      </c>
      <c r="Z23" s="108">
        <f t="shared" si="0"/>
        <v>0</v>
      </c>
      <c r="AA23" s="108">
        <f t="shared" si="0"/>
        <v>0</v>
      </c>
      <c r="AB23" s="108">
        <f t="shared" si="0"/>
        <v>0</v>
      </c>
      <c r="AC23" s="108">
        <f t="shared" si="0"/>
        <v>0</v>
      </c>
      <c r="AD23" s="108">
        <f t="shared" si="0"/>
        <v>0</v>
      </c>
      <c r="AE23" s="108">
        <f t="shared" si="0"/>
        <v>0</v>
      </c>
      <c r="AF23" s="108">
        <f t="shared" si="0"/>
        <v>0</v>
      </c>
    </row>
    <row r="24" spans="4:32">
      <c r="E24" t="s">
        <v>92</v>
      </c>
      <c r="H24" s="108">
        <f>Источники_Долг_WACC!L15</f>
        <v>-7000</v>
      </c>
      <c r="I24" s="108">
        <f>Источники_Долг_WACC!M15</f>
        <v>-15500</v>
      </c>
      <c r="J24" s="108">
        <f>Источники_Долг_WACC!N15</f>
        <v>-14875</v>
      </c>
      <c r="K24" s="108">
        <f>Источники_Долг_WACC!O15</f>
        <v>-10625</v>
      </c>
      <c r="L24" s="108">
        <f>Источники_Долг_WACC!P15</f>
        <v>-6375</v>
      </c>
      <c r="M24" s="108">
        <f>Источники_Долг_WACC!Q15</f>
        <v>-2125</v>
      </c>
      <c r="N24" s="108">
        <f>Источники_Долг_WACC!R15</f>
        <v>0</v>
      </c>
      <c r="O24" s="108">
        <f>Источники_Долг_WACC!S15</f>
        <v>0</v>
      </c>
      <c r="P24" s="108">
        <f>Источники_Долг_WACC!T15</f>
        <v>0</v>
      </c>
      <c r="Q24" s="108">
        <f>Источники_Долг_WACC!U15</f>
        <v>0</v>
      </c>
      <c r="R24" s="108">
        <f>Источники_Долг_WACC!V15</f>
        <v>0</v>
      </c>
      <c r="S24" s="108">
        <f>Источники_Долг_WACC!W15</f>
        <v>0</v>
      </c>
      <c r="T24" s="108">
        <f>Источники_Долг_WACC!X15</f>
        <v>0</v>
      </c>
      <c r="U24" s="108">
        <f>Источники_Долг_WACC!Y15</f>
        <v>0</v>
      </c>
      <c r="V24" s="108">
        <f>Источники_Долг_WACC!Z15</f>
        <v>0</v>
      </c>
      <c r="W24" s="108">
        <f>Источники_Долг_WACC!AA15</f>
        <v>0</v>
      </c>
      <c r="X24" s="108">
        <f>Источники_Долг_WACC!AB15</f>
        <v>0</v>
      </c>
      <c r="Y24" s="108">
        <f>Источники_Долг_WACC!AC15</f>
        <v>0</v>
      </c>
      <c r="Z24" s="108">
        <f>Источники_Долг_WACC!AD15</f>
        <v>0</v>
      </c>
      <c r="AA24" s="108">
        <f>Источники_Долг_WACC!AE15</f>
        <v>0</v>
      </c>
      <c r="AB24" s="108">
        <f>Источники_Долг_WACC!AF15</f>
        <v>0</v>
      </c>
      <c r="AC24" s="108">
        <f>Источники_Долг_WACC!AG15</f>
        <v>0</v>
      </c>
      <c r="AD24" s="108">
        <f>Источники_Долг_WACC!AH15</f>
        <v>0</v>
      </c>
      <c r="AE24" s="108">
        <f>Источники_Долг_WACC!AI15</f>
        <v>0</v>
      </c>
      <c r="AF24" s="108">
        <f>Источники_Долг_WACC!AJ15</f>
        <v>0</v>
      </c>
    </row>
    <row r="25" spans="4:32">
      <c r="E25" t="s">
        <v>75</v>
      </c>
      <c r="H25" s="108">
        <f>Источники_Долг_WACC!L43</f>
        <v>-10800</v>
      </c>
      <c r="I25" s="108">
        <f>Источники_Долг_WACC!M43</f>
        <v>-25200</v>
      </c>
      <c r="J25" s="108">
        <f>Источники_Долг_WACC!N43</f>
        <v>-31050</v>
      </c>
      <c r="K25" s="108">
        <f>Источники_Долг_WACC!O43</f>
        <v>-33300</v>
      </c>
      <c r="L25" s="108">
        <f>Источники_Долг_WACC!P43</f>
        <v>-32456.799999999999</v>
      </c>
      <c r="M25" s="108">
        <f>Источники_Долг_WACC!Q43</f>
        <v>-30431</v>
      </c>
      <c r="N25" s="108">
        <f>Источники_Долг_WACC!R43</f>
        <v>-27808.9</v>
      </c>
      <c r="O25" s="108">
        <f>Источники_Долг_WACC!S43</f>
        <v>-24886.7</v>
      </c>
      <c r="P25" s="108">
        <f>Источники_Долг_WACC!T43</f>
        <v>-21876.799999999999</v>
      </c>
      <c r="Q25" s="108">
        <f>Источники_Долг_WACC!U43</f>
        <v>-18776.599999999999</v>
      </c>
      <c r="R25" s="108">
        <f>Источники_Долг_WACC!V43</f>
        <v>-15583.4</v>
      </c>
      <c r="S25" s="108">
        <f>Источники_Долг_WACC!W43</f>
        <v>-12294.4</v>
      </c>
      <c r="T25" s="108">
        <f>Источники_Долг_WACC!X43</f>
        <v>-8906.7999999999993</v>
      </c>
      <c r="U25" s="108">
        <f>Источники_Долг_WACC!Y43</f>
        <v>-5417.5</v>
      </c>
      <c r="V25" s="108">
        <f>Источники_Долг_WACC!Z43</f>
        <v>-1823.5</v>
      </c>
      <c r="W25" s="108">
        <f>Источники_Долг_WACC!AA43</f>
        <v>0</v>
      </c>
      <c r="X25" s="108">
        <f>Источники_Долг_WACC!AB43</f>
        <v>0</v>
      </c>
      <c r="Y25" s="108">
        <f>Источники_Долг_WACC!AC43</f>
        <v>0</v>
      </c>
      <c r="Z25" s="108">
        <f>Источники_Долг_WACC!AD43</f>
        <v>0</v>
      </c>
      <c r="AA25" s="108">
        <f>Источники_Долг_WACC!AE43</f>
        <v>0</v>
      </c>
      <c r="AB25" s="108">
        <f>Источники_Долг_WACC!AF43</f>
        <v>0</v>
      </c>
      <c r="AC25" s="108">
        <f>Источники_Долг_WACC!AG43</f>
        <v>0</v>
      </c>
      <c r="AD25" s="108">
        <f>Источники_Долг_WACC!AH43</f>
        <v>0</v>
      </c>
      <c r="AE25" s="108">
        <f>Источники_Долг_WACC!AI43</f>
        <v>0</v>
      </c>
      <c r="AF25" s="108">
        <f>Источники_Долг_WACC!AJ43</f>
        <v>0</v>
      </c>
    </row>
    <row r="26" spans="4:32">
      <c r="E26" t="s">
        <v>76</v>
      </c>
      <c r="H26" s="108">
        <f>Источники_Долг_WACC!L72</f>
        <v>-10200</v>
      </c>
      <c r="I26" s="108">
        <f>Источники_Долг_WACC!M72</f>
        <v>-10327.5</v>
      </c>
      <c r="J26" s="108">
        <f>Источники_Долг_WACC!N72</f>
        <v>-9945</v>
      </c>
      <c r="K26" s="108">
        <f>Источники_Долг_WACC!O72</f>
        <v>-7862.5</v>
      </c>
      <c r="L26" s="108">
        <f>Источники_Долг_WACC!P72</f>
        <v>-4717.5</v>
      </c>
      <c r="M26" s="108">
        <f>Источники_Долг_WACC!Q72</f>
        <v>-1572.5</v>
      </c>
      <c r="N26" s="108">
        <f>Источники_Долг_WACC!R72</f>
        <v>0</v>
      </c>
      <c r="O26" s="108">
        <f>Источники_Долг_WACC!S72</f>
        <v>0</v>
      </c>
      <c r="P26" s="108">
        <f>Источники_Долг_WACC!T72</f>
        <v>0</v>
      </c>
      <c r="Q26" s="108">
        <f>Источники_Долг_WACC!U72</f>
        <v>0</v>
      </c>
      <c r="R26" s="108">
        <f>Источники_Долг_WACC!V72</f>
        <v>0</v>
      </c>
      <c r="S26" s="108">
        <f>Источники_Долг_WACC!W72</f>
        <v>0</v>
      </c>
      <c r="T26" s="108">
        <f>Источники_Долг_WACC!X72</f>
        <v>0</v>
      </c>
      <c r="U26" s="108">
        <f>Источники_Долг_WACC!Y72</f>
        <v>0</v>
      </c>
      <c r="V26" s="108">
        <f>Источники_Долг_WACC!Z72</f>
        <v>0</v>
      </c>
      <c r="W26" s="108">
        <f>Источники_Долг_WACC!AA72</f>
        <v>0</v>
      </c>
      <c r="X26" s="108">
        <f>Источники_Долг_WACC!AB72</f>
        <v>0</v>
      </c>
      <c r="Y26" s="108">
        <f>Источники_Долг_WACC!AC72</f>
        <v>0</v>
      </c>
      <c r="Z26" s="108">
        <f>Источники_Долг_WACC!AD72</f>
        <v>0</v>
      </c>
      <c r="AA26" s="108">
        <f>Источники_Долг_WACC!AE72</f>
        <v>0</v>
      </c>
      <c r="AB26" s="108">
        <f>Источники_Долг_WACC!AF72</f>
        <v>0</v>
      </c>
      <c r="AC26" s="108">
        <f>Источники_Долг_WACC!AG72</f>
        <v>0</v>
      </c>
      <c r="AD26" s="108">
        <f>Источники_Долг_WACC!AH72</f>
        <v>0</v>
      </c>
      <c r="AE26" s="108">
        <f>Источники_Долг_WACC!AI72</f>
        <v>0</v>
      </c>
      <c r="AF26" s="108">
        <f>Источники_Долг_WACC!AJ72</f>
        <v>0</v>
      </c>
    </row>
    <row r="27" spans="4:32">
      <c r="H27">
        <v>2022</v>
      </c>
      <c r="I27">
        <v>2023</v>
      </c>
      <c r="J27">
        <v>2024</v>
      </c>
      <c r="K27">
        <v>2025</v>
      </c>
      <c r="L27">
        <v>2026</v>
      </c>
      <c r="M27">
        <v>2027</v>
      </c>
      <c r="N27">
        <v>2028</v>
      </c>
      <c r="O27">
        <v>2029</v>
      </c>
      <c r="P27">
        <v>2030</v>
      </c>
      <c r="Q27">
        <v>2031</v>
      </c>
      <c r="R27">
        <v>2032</v>
      </c>
      <c r="S27">
        <v>2033</v>
      </c>
      <c r="T27">
        <v>2034</v>
      </c>
      <c r="U27">
        <v>2035</v>
      </c>
      <c r="V27">
        <v>2036</v>
      </c>
      <c r="W27">
        <v>2037</v>
      </c>
      <c r="X27">
        <v>2038</v>
      </c>
      <c r="Y27">
        <v>2039</v>
      </c>
      <c r="Z27">
        <v>2040</v>
      </c>
      <c r="AA27">
        <v>2041</v>
      </c>
      <c r="AB27">
        <v>2042</v>
      </c>
      <c r="AC27">
        <v>2043</v>
      </c>
      <c r="AD27">
        <v>2044</v>
      </c>
      <c r="AE27">
        <v>2045</v>
      </c>
      <c r="AF27">
        <v>2046</v>
      </c>
    </row>
    <row r="28" spans="4:32">
      <c r="G28" t="s">
        <v>147</v>
      </c>
      <c r="H28" s="108">
        <f>-SUM(H20:H22)</f>
        <v>0</v>
      </c>
      <c r="I28" s="108">
        <f t="shared" ref="I28:AF28" si="1">-SUM(I20:I22)</f>
        <v>37000</v>
      </c>
      <c r="J28" s="108">
        <f t="shared" si="1"/>
        <v>79500</v>
      </c>
      <c r="K28" s="108">
        <f t="shared" si="1"/>
        <v>79500</v>
      </c>
      <c r="L28" s="108">
        <f t="shared" si="1"/>
        <v>135715.7624450826</v>
      </c>
      <c r="M28" s="108">
        <f t="shared" si="1"/>
        <v>158337.55690367339</v>
      </c>
      <c r="N28" s="108">
        <f t="shared" si="1"/>
        <v>95967.762163499094</v>
      </c>
      <c r="O28" s="108">
        <f t="shared" si="1"/>
        <v>98846.795028404071</v>
      </c>
      <c r="P28" s="108">
        <f t="shared" si="1"/>
        <v>101812.1988792562</v>
      </c>
      <c r="Q28" s="108">
        <f t="shared" si="1"/>
        <v>104866.56484563387</v>
      </c>
      <c r="R28" s="108">
        <f t="shared" si="1"/>
        <v>108012.5617910029</v>
      </c>
      <c r="S28" s="108">
        <f t="shared" si="1"/>
        <v>111252.93864473297</v>
      </c>
      <c r="T28" s="108">
        <f t="shared" si="1"/>
        <v>114590.52680407497</v>
      </c>
      <c r="U28" s="108">
        <f t="shared" si="1"/>
        <v>118028.24260819722</v>
      </c>
      <c r="V28" s="108">
        <f t="shared" si="1"/>
        <v>121569.08988644314</v>
      </c>
      <c r="W28" s="108">
        <f t="shared" si="1"/>
        <v>0</v>
      </c>
      <c r="X28" s="108">
        <f t="shared" si="1"/>
        <v>0</v>
      </c>
      <c r="Y28" s="108">
        <f t="shared" si="1"/>
        <v>0</v>
      </c>
      <c r="Z28" s="108">
        <f t="shared" si="1"/>
        <v>0</v>
      </c>
      <c r="AA28" s="108">
        <f t="shared" si="1"/>
        <v>0</v>
      </c>
      <c r="AB28" s="108">
        <f t="shared" si="1"/>
        <v>0</v>
      </c>
      <c r="AC28" s="108">
        <f t="shared" si="1"/>
        <v>0</v>
      </c>
      <c r="AD28" s="108">
        <f t="shared" si="1"/>
        <v>0</v>
      </c>
      <c r="AE28" s="108">
        <f t="shared" si="1"/>
        <v>0</v>
      </c>
      <c r="AF28" s="108">
        <f t="shared" si="1"/>
        <v>0</v>
      </c>
    </row>
    <row r="29" spans="4:32">
      <c r="G29" t="s">
        <v>81</v>
      </c>
      <c r="H29" s="108">
        <f>-H23</f>
        <v>28000</v>
      </c>
      <c r="I29" s="108">
        <f t="shared" ref="I29:AF29" si="2">-I23</f>
        <v>51027.5</v>
      </c>
      <c r="J29" s="108">
        <f t="shared" si="2"/>
        <v>55870</v>
      </c>
      <c r="K29" s="108">
        <f t="shared" si="2"/>
        <v>51787.5</v>
      </c>
      <c r="L29" s="108">
        <f t="shared" si="2"/>
        <v>43549.3</v>
      </c>
      <c r="M29" s="108">
        <f t="shared" si="2"/>
        <v>34128.5</v>
      </c>
      <c r="N29" s="108">
        <f t="shared" si="2"/>
        <v>27808.9</v>
      </c>
      <c r="O29" s="108">
        <f t="shared" si="2"/>
        <v>24886.7</v>
      </c>
      <c r="P29" s="108">
        <f t="shared" si="2"/>
        <v>21876.799999999999</v>
      </c>
      <c r="Q29" s="108">
        <f t="shared" si="2"/>
        <v>18776.599999999999</v>
      </c>
      <c r="R29" s="108">
        <f t="shared" si="2"/>
        <v>15583.4</v>
      </c>
      <c r="S29" s="108">
        <f t="shared" si="2"/>
        <v>12294.4</v>
      </c>
      <c r="T29" s="108">
        <f t="shared" si="2"/>
        <v>8906.7999999999993</v>
      </c>
      <c r="U29" s="108">
        <f t="shared" si="2"/>
        <v>5417.5</v>
      </c>
      <c r="V29" s="108">
        <f t="shared" si="2"/>
        <v>1823.5</v>
      </c>
      <c r="W29" s="108">
        <f t="shared" si="2"/>
        <v>0</v>
      </c>
      <c r="X29" s="108">
        <f t="shared" si="2"/>
        <v>0</v>
      </c>
      <c r="Y29" s="108">
        <f t="shared" si="2"/>
        <v>0</v>
      </c>
      <c r="Z29" s="108">
        <f t="shared" si="2"/>
        <v>0</v>
      </c>
      <c r="AA29" s="108">
        <f t="shared" si="2"/>
        <v>0</v>
      </c>
      <c r="AB29" s="108">
        <f t="shared" si="2"/>
        <v>0</v>
      </c>
      <c r="AC29" s="108">
        <f t="shared" si="2"/>
        <v>0</v>
      </c>
      <c r="AD29" s="108">
        <f t="shared" si="2"/>
        <v>0</v>
      </c>
      <c r="AE29" s="108">
        <f t="shared" si="2"/>
        <v>0</v>
      </c>
      <c r="AF29" s="108">
        <f t="shared" si="2"/>
        <v>0</v>
      </c>
    </row>
    <row r="30" spans="4:32">
      <c r="G30" t="s">
        <v>121</v>
      </c>
      <c r="H30" s="108">
        <f>Источники_Долг_WACC!L78</f>
        <v>980000</v>
      </c>
      <c r="I30" s="108">
        <f>Источники_Долг_WACC!M78</f>
        <v>1253000</v>
      </c>
      <c r="J30" s="108">
        <f>Источники_Долг_WACC!N78</f>
        <v>1348500</v>
      </c>
      <c r="K30" s="108">
        <f>Источники_Долг_WACC!O78</f>
        <v>1269000</v>
      </c>
      <c r="L30" s="108">
        <f>Источники_Долг_WACC!P78</f>
        <v>1133284.2375549173</v>
      </c>
      <c r="M30" s="108">
        <f>Источники_Долг_WACC!Q78</f>
        <v>974946.68065124401</v>
      </c>
      <c r="N30" s="108">
        <f>Источники_Долг_WACC!R78</f>
        <v>878978.91848774487</v>
      </c>
      <c r="O30" s="108">
        <f>Источники_Долг_WACC!S78</f>
        <v>780132.12345934077</v>
      </c>
      <c r="P30" s="108">
        <f>Источники_Долг_WACC!T78</f>
        <v>678319.92458008463</v>
      </c>
      <c r="Q30" s="108">
        <f>Источники_Долг_WACC!U78</f>
        <v>573453.3597344507</v>
      </c>
      <c r="R30" s="108">
        <f>Источники_Долг_WACC!V78</f>
        <v>465440.79794344783</v>
      </c>
      <c r="S30" s="108">
        <f>Источники_Долг_WACC!W78</f>
        <v>354187.85929871484</v>
      </c>
      <c r="T30" s="108">
        <f>Источники_Долг_WACC!X78</f>
        <v>239597.33249463988</v>
      </c>
      <c r="U30" s="108">
        <f>Источники_Долг_WACC!Y78</f>
        <v>121569.08988644266</v>
      </c>
      <c r="V30" s="108">
        <f>Источники_Долг_WACC!Z78</f>
        <v>0</v>
      </c>
      <c r="W30" s="108">
        <f>Источники_Долг_WACC!AA78</f>
        <v>0</v>
      </c>
      <c r="X30" s="108">
        <f>Источники_Долг_WACC!AB78</f>
        <v>0</v>
      </c>
      <c r="Y30" s="108">
        <f>Источники_Долг_WACC!AC78</f>
        <v>0</v>
      </c>
      <c r="Z30" s="108">
        <f>Источники_Долг_WACC!AD78</f>
        <v>0</v>
      </c>
      <c r="AA30" s="108">
        <f>Источники_Долг_WACC!AE78</f>
        <v>0</v>
      </c>
      <c r="AB30" s="108">
        <f>Источники_Долг_WACC!AF78</f>
        <v>0</v>
      </c>
      <c r="AC30" s="108">
        <f>Источники_Долг_WACC!AG78</f>
        <v>0</v>
      </c>
      <c r="AD30" s="108">
        <f>Источники_Долг_WACC!AH78</f>
        <v>0</v>
      </c>
      <c r="AE30" s="108">
        <f>Источники_Долг_WACC!AI78</f>
        <v>0</v>
      </c>
      <c r="AF30" s="108">
        <f>Источники_Долг_WACC!AJ78</f>
        <v>0</v>
      </c>
    </row>
    <row r="31" spans="4:32">
      <c r="G31" t="s">
        <v>108</v>
      </c>
      <c r="H31" s="108">
        <f>CF!L35</f>
        <v>176266.66666666674</v>
      </c>
      <c r="I31" s="108">
        <f>CF!M35</f>
        <v>348205.50000000006</v>
      </c>
      <c r="J31" s="108">
        <f>CF!N35</f>
        <v>250146.00000000009</v>
      </c>
      <c r="K31" s="108">
        <f>CF!O35</f>
        <v>252085.91333333339</v>
      </c>
      <c r="L31" s="108">
        <f>CF!P35</f>
        <v>225392.00786666677</v>
      </c>
      <c r="M31" s="108">
        <f>CF!Q35</f>
        <v>232138.99198800008</v>
      </c>
      <c r="N31" s="108">
        <f>CF!R35</f>
        <v>239864.24800038675</v>
      </c>
      <c r="O31" s="108">
        <f>CF!S35</f>
        <v>248641.52628225484</v>
      </c>
      <c r="P31" s="108">
        <f>CF!T35</f>
        <v>257788.89357620332</v>
      </c>
      <c r="Q31" s="108">
        <f>CF!U35</f>
        <v>267321.51543583703</v>
      </c>
      <c r="R31" s="108">
        <f>CF!V35</f>
        <v>277255.1595279334</v>
      </c>
      <c r="S31" s="108">
        <f>CF!W35</f>
        <v>287606.21982166247</v>
      </c>
      <c r="T31" s="108">
        <f>CF!X35</f>
        <v>298391.76169771317</v>
      </c>
      <c r="U31" s="108">
        <f>CF!Y35</f>
        <v>309629.48801135569</v>
      </c>
      <c r="V31" s="108">
        <f>CF!Z35</f>
        <v>321337.84614467266</v>
      </c>
      <c r="W31" s="108">
        <f>CF!AA35</f>
        <v>0</v>
      </c>
      <c r="X31" s="108">
        <f>CF!AB35</f>
        <v>0</v>
      </c>
      <c r="Y31" s="108">
        <f>CF!AC35</f>
        <v>0</v>
      </c>
      <c r="Z31" s="108">
        <f>CF!AD35</f>
        <v>0</v>
      </c>
      <c r="AA31" s="108">
        <f>CF!AE35</f>
        <v>0</v>
      </c>
      <c r="AB31" s="108">
        <f>CF!AF35</f>
        <v>0</v>
      </c>
      <c r="AC31" s="108">
        <f>CF!AG35</f>
        <v>0</v>
      </c>
      <c r="AD31" s="108">
        <f>CF!AH35</f>
        <v>0</v>
      </c>
      <c r="AE31" s="108">
        <f>CF!AI35</f>
        <v>0</v>
      </c>
      <c r="AF31" s="108">
        <f>CF!AJ35</f>
        <v>0</v>
      </c>
    </row>
    <row r="32" spans="4:32">
      <c r="G32" t="s">
        <v>176</v>
      </c>
      <c r="H32" s="149">
        <f>CF!L37</f>
        <v>6.2952380952380977</v>
      </c>
      <c r="I32" s="149">
        <f>CF!M37</f>
        <v>3.9556445428985265</v>
      </c>
      <c r="J32" s="149">
        <f>CF!N37</f>
        <v>1.8478688040186162</v>
      </c>
      <c r="K32" s="149">
        <f>CF!O37</f>
        <v>1.9201059760703296</v>
      </c>
      <c r="L32" s="149">
        <f>CF!P37</f>
        <v>1.2573114068767028</v>
      </c>
      <c r="M32" s="149">
        <f>CF!Q37</f>
        <v>1.2061295156276957</v>
      </c>
      <c r="N32" s="149">
        <f>CF!R37</f>
        <v>1.9378794338753875</v>
      </c>
      <c r="O32" s="149">
        <f>CF!S37</f>
        <v>2.0094924678655288</v>
      </c>
      <c r="P32" s="149">
        <f>CF!T37</f>
        <v>2.0841699416441548</v>
      </c>
      <c r="Q32" s="149">
        <f>CF!U37</f>
        <v>2.1620403826574872</v>
      </c>
      <c r="R32" s="149">
        <f>CF!V37</f>
        <v>2.2432380112609476</v>
      </c>
      <c r="S32" s="149">
        <f>CF!W37</f>
        <v>2.3279029963461184</v>
      </c>
      <c r="T32" s="149">
        <f>CF!X37</f>
        <v>2.416179924048909</v>
      </c>
      <c r="U32" s="149">
        <f>CF!Y37</f>
        <v>2.5082233009370323</v>
      </c>
      <c r="V32" s="149">
        <f>CF!Z37</f>
        <v>2.6041907900660517</v>
      </c>
      <c r="W32" s="149" t="str">
        <f>CF!AA37</f>
        <v>долга нет</v>
      </c>
      <c r="X32" s="149" t="str">
        <f>CF!AB37</f>
        <v>долга нет</v>
      </c>
      <c r="Y32" s="149" t="str">
        <f>CF!AC37</f>
        <v>долга нет</v>
      </c>
      <c r="Z32" s="149" t="str">
        <f>CF!AD37</f>
        <v>долга нет</v>
      </c>
      <c r="AA32" s="149" t="str">
        <f>CF!AE37</f>
        <v>долга нет</v>
      </c>
      <c r="AB32" s="149" t="str">
        <f>CF!AF37</f>
        <v>долга нет</v>
      </c>
      <c r="AC32" s="149" t="str">
        <f>CF!AG37</f>
        <v>долга нет</v>
      </c>
      <c r="AD32" s="149" t="str">
        <f>CF!AH37</f>
        <v>долга нет</v>
      </c>
      <c r="AE32" s="149" t="str">
        <f>CF!AI37</f>
        <v>долга нет</v>
      </c>
      <c r="AF32" s="149" t="str">
        <f>CF!AJ37</f>
        <v>долга нет</v>
      </c>
    </row>
    <row r="33" spans="7:32">
      <c r="G33" t="s">
        <v>175</v>
      </c>
      <c r="H33" s="149">
        <v>1.05</v>
      </c>
      <c r="I33" s="149">
        <v>1.05</v>
      </c>
      <c r="J33" s="149">
        <v>1.05</v>
      </c>
      <c r="K33" s="149">
        <v>1.05</v>
      </c>
      <c r="L33" s="149">
        <v>1.05</v>
      </c>
      <c r="M33" s="149">
        <v>1.05</v>
      </c>
      <c r="N33" s="149">
        <v>1.05</v>
      </c>
      <c r="O33" s="149">
        <v>1.05</v>
      </c>
      <c r="P33" s="149">
        <v>1.05</v>
      </c>
      <c r="Q33" s="149">
        <v>1.05</v>
      </c>
      <c r="R33" s="149">
        <v>1.05</v>
      </c>
      <c r="S33" s="149">
        <v>1.05</v>
      </c>
      <c r="T33" s="149">
        <v>1.05</v>
      </c>
      <c r="U33" s="149">
        <v>1.05</v>
      </c>
      <c r="V33" s="149">
        <v>1.05</v>
      </c>
      <c r="W33" s="149">
        <v>1.05</v>
      </c>
      <c r="X33" s="149">
        <v>1.05</v>
      </c>
      <c r="Y33" s="149">
        <v>1.05</v>
      </c>
      <c r="Z33" s="149">
        <v>1.05</v>
      </c>
      <c r="AA33" s="149">
        <v>1.05</v>
      </c>
      <c r="AB33" s="149">
        <v>1.05</v>
      </c>
      <c r="AC33" s="149">
        <v>1.05</v>
      </c>
      <c r="AD33" s="149">
        <v>1.05</v>
      </c>
      <c r="AE33" s="149">
        <v>1.05</v>
      </c>
      <c r="AF33" s="149">
        <v>1.05</v>
      </c>
    </row>
  </sheetData>
  <customSheetViews>
    <customSheetView guid="{7D5A2C9F-3ABE-4F29-B54C-C3E3AA98CA69}" scale="85" state="veryHidden">
      <selection activeCell="Q33" sqref="Q33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0" tint="-0.499984740745262"/>
    <pageSetUpPr fitToPage="1"/>
  </sheetPr>
  <dimension ref="C2:F10"/>
  <sheetViews>
    <sheetView tabSelected="1" view="pageBreakPreview" zoomScale="85" zoomScaleNormal="80" zoomScaleSheetLayoutView="85" workbookViewId="0"/>
  </sheetViews>
  <sheetFormatPr defaultRowHeight="15"/>
  <cols>
    <col min="3" max="3" width="23.7109375" bestFit="1" customWidth="1"/>
    <col min="4" max="4" width="45.85546875" customWidth="1"/>
    <col min="5" max="5" width="69.140625" customWidth="1"/>
    <col min="6" max="6" width="9.140625" style="109"/>
  </cols>
  <sheetData>
    <row r="2" spans="3:6" s="148" customFormat="1">
      <c r="C2" s="148" t="s">
        <v>158</v>
      </c>
      <c r="D2" s="148" t="s">
        <v>159</v>
      </c>
      <c r="E2" s="148" t="s">
        <v>160</v>
      </c>
      <c r="F2" s="148" t="s">
        <v>161</v>
      </c>
    </row>
    <row r="3" spans="3:6" s="142" customFormat="1" ht="105">
      <c r="C3" s="152" t="s">
        <v>162</v>
      </c>
      <c r="D3" s="143" t="s">
        <v>183</v>
      </c>
      <c r="E3" s="143"/>
      <c r="F3" s="150" t="s">
        <v>170</v>
      </c>
    </row>
    <row r="4" spans="3:6" s="142" customFormat="1">
      <c r="C4" s="153" t="s">
        <v>163</v>
      </c>
      <c r="D4" s="151" t="s">
        <v>171</v>
      </c>
      <c r="E4" s="144" t="s">
        <v>172</v>
      </c>
      <c r="F4" s="144"/>
    </row>
    <row r="5" spans="3:6" s="142" customFormat="1" ht="105">
      <c r="C5" s="154" t="s">
        <v>164</v>
      </c>
      <c r="D5" s="146" t="s">
        <v>182</v>
      </c>
      <c r="E5" s="146" t="s">
        <v>179</v>
      </c>
      <c r="F5" s="147" t="s">
        <v>170</v>
      </c>
    </row>
    <row r="6" spans="3:6" s="142" customFormat="1" ht="120">
      <c r="C6" s="154" t="s">
        <v>165</v>
      </c>
      <c r="D6" s="146" t="s">
        <v>180</v>
      </c>
      <c r="E6" s="146" t="s">
        <v>193</v>
      </c>
      <c r="F6" s="147" t="s">
        <v>170</v>
      </c>
    </row>
    <row r="7" spans="3:6" s="142" customFormat="1" ht="75">
      <c r="C7" s="154" t="s">
        <v>166</v>
      </c>
      <c r="D7" s="146" t="s">
        <v>177</v>
      </c>
      <c r="E7" s="145"/>
      <c r="F7" s="147" t="s">
        <v>170</v>
      </c>
    </row>
    <row r="8" spans="3:6" s="142" customFormat="1" ht="120">
      <c r="C8" s="154" t="s">
        <v>167</v>
      </c>
      <c r="D8" s="146" t="s">
        <v>181</v>
      </c>
      <c r="E8" s="145"/>
      <c r="F8" s="147" t="s">
        <v>170</v>
      </c>
    </row>
    <row r="9" spans="3:6" s="142" customFormat="1" ht="60">
      <c r="C9" s="154" t="s">
        <v>168</v>
      </c>
      <c r="D9" s="146" t="s">
        <v>198</v>
      </c>
      <c r="E9" s="146" t="s">
        <v>173</v>
      </c>
      <c r="F9" s="161" t="s">
        <v>170</v>
      </c>
    </row>
    <row r="10" spans="3:6" s="142" customFormat="1">
      <c r="C10" s="153" t="s">
        <v>169</v>
      </c>
      <c r="D10" s="151" t="s">
        <v>171</v>
      </c>
      <c r="E10" s="151" t="s">
        <v>174</v>
      </c>
      <c r="F10" s="162" t="s">
        <v>170</v>
      </c>
    </row>
  </sheetData>
  <customSheetViews>
    <customSheetView guid="{7D5A2C9F-3ABE-4F29-B54C-C3E3AA98CA69}" scale="60" showPageBreaks="1" fitToPage="1" printArea="1" view="pageBreakPreview">
      <selection activeCell="E8" sqref="E8"/>
      <pageMargins left="0" right="0" top="0.74803149606299213" bottom="0.74803149606299213" header="0.31496062992125984" footer="0.31496062992125984"/>
      <printOptions horizontalCentered="1"/>
      <pageSetup paperSize="9" scale="79" orientation="landscape" horizontalDpi="0" verticalDpi="0" r:id="rId1"/>
    </customSheetView>
  </customSheetViews>
  <hyperlinks>
    <hyperlink ref="F3" location="Титул!B18" display="ссылка"/>
    <hyperlink ref="F5" location="Выручка!A1" display="ссылка"/>
    <hyperlink ref="F6" location="OPEX!A1" display="ссылка"/>
    <hyperlink ref="F7" location="CAPEX!A1" display="ссылка"/>
    <hyperlink ref="F8" location="Источники_Долг_WACC!A1" display="ссылка"/>
    <hyperlink ref="F9" location="CF!A1" display="ссылка"/>
    <hyperlink ref="F10" location="Табло!A1" display="ссылка"/>
  </hyperlinks>
  <printOptions horizontalCentered="1"/>
  <pageMargins left="0" right="0" top="0.74803149606299213" bottom="0.74803149606299213" header="0.31496062992125984" footer="0.31496062992125984"/>
  <pageSetup paperSize="9" scale="7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3" tint="-0.249977111117893"/>
  </sheetPr>
  <dimension ref="A1:AP45"/>
  <sheetViews>
    <sheetView view="pageBreakPreview" zoomScale="85" zoomScaleNormal="100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ColWidth="0" defaultRowHeight="12.75" outlineLevelRow="1"/>
  <cols>
    <col min="1" max="1" width="1.7109375" style="26" customWidth="1"/>
    <col min="2" max="3" width="2.7109375" style="17" customWidth="1"/>
    <col min="4" max="6" width="9.140625" style="17" customWidth="1"/>
    <col min="7" max="7" width="2.7109375" style="17" customWidth="1"/>
    <col min="8" max="8" width="10.7109375" style="18" customWidth="1"/>
    <col min="9" max="9" width="1.7109375" style="17" customWidth="1"/>
    <col min="10" max="10" width="13.5703125" style="17" bestFit="1" customWidth="1"/>
    <col min="11" max="11" width="1.7109375" style="17" customWidth="1"/>
    <col min="12" max="20" width="13" style="17" bestFit="1" customWidth="1"/>
    <col min="21" max="33" width="11.5703125" style="17" bestFit="1" customWidth="1"/>
    <col min="34" max="36" width="10" style="17" bestFit="1" customWidth="1"/>
    <col min="37" max="37" width="10" style="26" bestFit="1" customWidth="1"/>
    <col min="38" max="40" width="10" style="17" bestFit="1" customWidth="1"/>
    <col min="41" max="41" width="10" style="26" bestFit="1" customWidth="1"/>
    <col min="42" max="42" width="2.7109375" style="26" customWidth="1"/>
    <col min="43" max="16384" width="9.140625" style="26" hidden="1"/>
  </cols>
  <sheetData>
    <row r="1" spans="1:42" s="25" customFormat="1">
      <c r="B1" s="5"/>
      <c r="C1" s="5"/>
      <c r="D1" s="5"/>
      <c r="E1" s="5"/>
      <c r="F1" s="5"/>
      <c r="G1" s="5"/>
      <c r="H1" s="5" t="s">
        <v>3</v>
      </c>
      <c r="I1" s="5"/>
      <c r="J1" s="5" t="s">
        <v>2</v>
      </c>
      <c r="K1" s="5"/>
      <c r="L1" s="5">
        <v>2022</v>
      </c>
      <c r="M1" s="5">
        <v>2023</v>
      </c>
      <c r="N1" s="5">
        <v>2024</v>
      </c>
      <c r="O1" s="5">
        <v>2025</v>
      </c>
      <c r="P1" s="5">
        <v>2026</v>
      </c>
      <c r="Q1" s="5">
        <v>2027</v>
      </c>
      <c r="R1" s="5">
        <v>2028</v>
      </c>
      <c r="S1" s="5">
        <v>2029</v>
      </c>
      <c r="T1" s="5">
        <v>2030</v>
      </c>
      <c r="U1" s="5">
        <v>2031</v>
      </c>
      <c r="V1" s="5">
        <v>2032</v>
      </c>
      <c r="W1" s="5">
        <v>2033</v>
      </c>
      <c r="X1" s="5">
        <v>2034</v>
      </c>
      <c r="Y1" s="5">
        <v>2035</v>
      </c>
      <c r="Z1" s="5">
        <v>2036</v>
      </c>
      <c r="AA1" s="5">
        <v>2037</v>
      </c>
      <c r="AB1" s="5">
        <v>2038</v>
      </c>
      <c r="AC1" s="5">
        <v>2039</v>
      </c>
      <c r="AD1" s="5">
        <v>2040</v>
      </c>
      <c r="AE1" s="5">
        <v>2041</v>
      </c>
      <c r="AF1" s="5">
        <v>2042</v>
      </c>
      <c r="AG1" s="5">
        <v>2043</v>
      </c>
      <c r="AH1" s="5">
        <v>2044</v>
      </c>
      <c r="AI1" s="5">
        <v>2045</v>
      </c>
      <c r="AJ1" s="5">
        <v>2046</v>
      </c>
      <c r="AK1" s="5">
        <v>2047</v>
      </c>
      <c r="AL1" s="5">
        <v>2048</v>
      </c>
      <c r="AM1" s="5">
        <v>2049</v>
      </c>
      <c r="AN1" s="5">
        <v>2050</v>
      </c>
      <c r="AO1" s="5">
        <v>2051</v>
      </c>
    </row>
    <row r="2" spans="1:42" s="77" customFormat="1">
      <c r="A2" s="26"/>
      <c r="B2" s="6" t="s">
        <v>130</v>
      </c>
      <c r="C2" s="6"/>
      <c r="D2" s="6"/>
      <c r="E2" s="6"/>
      <c r="F2" s="6"/>
      <c r="G2" s="6"/>
      <c r="H2" s="1"/>
      <c r="I2" s="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1:42" s="77" customFormat="1">
      <c r="A3" s="26"/>
      <c r="B3" s="6"/>
      <c r="C3" s="6" t="s">
        <v>14</v>
      </c>
      <c r="D3" s="6"/>
      <c r="E3" s="6"/>
      <c r="F3" s="6"/>
      <c r="G3" s="6"/>
      <c r="H3" s="1"/>
      <c r="I3" s="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spans="1:42" s="77" customFormat="1">
      <c r="A4" s="26"/>
      <c r="B4" s="6"/>
      <c r="C4" s="6"/>
      <c r="D4" s="6" t="s">
        <v>20</v>
      </c>
      <c r="E4" s="6"/>
      <c r="F4" s="6"/>
      <c r="G4" s="6"/>
      <c r="H4" s="1" t="s">
        <v>26</v>
      </c>
      <c r="I4" s="6"/>
      <c r="J4" s="76"/>
      <c r="K4" s="76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159"/>
    </row>
    <row r="5" spans="1:42" s="77" customFormat="1">
      <c r="A5" s="26"/>
      <c r="B5" s="6"/>
      <c r="C5" s="6"/>
      <c r="D5" s="6" t="s">
        <v>0</v>
      </c>
      <c r="E5" s="6"/>
      <c r="F5" s="6"/>
      <c r="G5" s="6"/>
      <c r="H5" s="1" t="s">
        <v>39</v>
      </c>
      <c r="I5" s="6"/>
      <c r="J5" s="76"/>
      <c r="K5" s="76"/>
      <c r="L5" s="78"/>
      <c r="M5" s="78">
        <f>L5*1.04</f>
        <v>0</v>
      </c>
      <c r="N5" s="78">
        <f t="shared" ref="N5:AJ5" si="0">M5*1.04</f>
        <v>0</v>
      </c>
      <c r="O5" s="78">
        <f t="shared" si="0"/>
        <v>0</v>
      </c>
      <c r="P5" s="78">
        <f t="shared" si="0"/>
        <v>0</v>
      </c>
      <c r="Q5" s="78">
        <f t="shared" si="0"/>
        <v>0</v>
      </c>
      <c r="R5" s="78">
        <f t="shared" si="0"/>
        <v>0</v>
      </c>
      <c r="S5" s="78">
        <f t="shared" si="0"/>
        <v>0</v>
      </c>
      <c r="T5" s="78">
        <f t="shared" si="0"/>
        <v>0</v>
      </c>
      <c r="U5" s="78">
        <f t="shared" si="0"/>
        <v>0</v>
      </c>
      <c r="V5" s="78">
        <f t="shared" si="0"/>
        <v>0</v>
      </c>
      <c r="W5" s="78">
        <f t="shared" si="0"/>
        <v>0</v>
      </c>
      <c r="X5" s="78">
        <f t="shared" si="0"/>
        <v>0</v>
      </c>
      <c r="Y5" s="78">
        <f t="shared" si="0"/>
        <v>0</v>
      </c>
      <c r="Z5" s="78">
        <f t="shared" si="0"/>
        <v>0</v>
      </c>
      <c r="AA5" s="78">
        <f t="shared" si="0"/>
        <v>0</v>
      </c>
      <c r="AB5" s="78">
        <f t="shared" si="0"/>
        <v>0</v>
      </c>
      <c r="AC5" s="78">
        <f t="shared" si="0"/>
        <v>0</v>
      </c>
      <c r="AD5" s="78">
        <f t="shared" si="0"/>
        <v>0</v>
      </c>
      <c r="AE5" s="78">
        <f t="shared" si="0"/>
        <v>0</v>
      </c>
      <c r="AF5" s="78">
        <f t="shared" si="0"/>
        <v>0</v>
      </c>
      <c r="AG5" s="78">
        <f t="shared" si="0"/>
        <v>0</v>
      </c>
      <c r="AH5" s="78">
        <f t="shared" si="0"/>
        <v>0</v>
      </c>
      <c r="AI5" s="78">
        <f t="shared" si="0"/>
        <v>0</v>
      </c>
      <c r="AJ5" s="78">
        <f t="shared" si="0"/>
        <v>0</v>
      </c>
      <c r="AK5" s="78">
        <f t="shared" ref="AK5" si="1">AJ5*1.04</f>
        <v>0</v>
      </c>
      <c r="AL5" s="78">
        <f t="shared" ref="AL5" si="2">AK5*1.04</f>
        <v>0</v>
      </c>
      <c r="AM5" s="78">
        <f t="shared" ref="AM5" si="3">AL5*1.04</f>
        <v>0</v>
      </c>
      <c r="AN5" s="78">
        <f t="shared" ref="AN5" si="4">AM5*1.04</f>
        <v>0</v>
      </c>
      <c r="AO5" s="78">
        <f t="shared" ref="AO5" si="5">AN5*1.04</f>
        <v>0</v>
      </c>
      <c r="AP5" s="159"/>
    </row>
    <row r="6" spans="1:42" s="80" customFormat="1">
      <c r="B6" s="81"/>
      <c r="C6" s="81"/>
      <c r="D6" s="82" t="s">
        <v>7</v>
      </c>
      <c r="E6" s="81"/>
      <c r="F6" s="81"/>
      <c r="G6" s="81"/>
      <c r="H6" s="83" t="s">
        <v>8</v>
      </c>
      <c r="I6" s="81"/>
      <c r="J6" s="81"/>
      <c r="K6" s="81"/>
      <c r="L6" s="81"/>
      <c r="M6" s="81">
        <f t="shared" ref="M6:AJ6" si="6">IFERROR(M5/L5,0)</f>
        <v>0</v>
      </c>
      <c r="N6" s="81">
        <f t="shared" si="6"/>
        <v>0</v>
      </c>
      <c r="O6" s="81">
        <f t="shared" si="6"/>
        <v>0</v>
      </c>
      <c r="P6" s="81">
        <f t="shared" si="6"/>
        <v>0</v>
      </c>
      <c r="Q6" s="81">
        <f t="shared" si="6"/>
        <v>0</v>
      </c>
      <c r="R6" s="81">
        <f t="shared" si="6"/>
        <v>0</v>
      </c>
      <c r="S6" s="81">
        <f t="shared" si="6"/>
        <v>0</v>
      </c>
      <c r="T6" s="81">
        <f t="shared" si="6"/>
        <v>0</v>
      </c>
      <c r="U6" s="81">
        <f t="shared" si="6"/>
        <v>0</v>
      </c>
      <c r="V6" s="81">
        <f t="shared" si="6"/>
        <v>0</v>
      </c>
      <c r="W6" s="81">
        <f t="shared" si="6"/>
        <v>0</v>
      </c>
      <c r="X6" s="81">
        <f t="shared" si="6"/>
        <v>0</v>
      </c>
      <c r="Y6" s="81">
        <f t="shared" si="6"/>
        <v>0</v>
      </c>
      <c r="Z6" s="81">
        <f t="shared" si="6"/>
        <v>0</v>
      </c>
      <c r="AA6" s="81">
        <f t="shared" si="6"/>
        <v>0</v>
      </c>
      <c r="AB6" s="81">
        <f t="shared" si="6"/>
        <v>0</v>
      </c>
      <c r="AC6" s="81">
        <f t="shared" si="6"/>
        <v>0</v>
      </c>
      <c r="AD6" s="81">
        <f t="shared" si="6"/>
        <v>0</v>
      </c>
      <c r="AE6" s="81">
        <f t="shared" si="6"/>
        <v>0</v>
      </c>
      <c r="AF6" s="81">
        <f t="shared" si="6"/>
        <v>0</v>
      </c>
      <c r="AG6" s="81">
        <f t="shared" si="6"/>
        <v>0</v>
      </c>
      <c r="AH6" s="81">
        <f t="shared" si="6"/>
        <v>0</v>
      </c>
      <c r="AI6" s="81">
        <f t="shared" si="6"/>
        <v>0</v>
      </c>
      <c r="AJ6" s="81">
        <f t="shared" si="6"/>
        <v>0</v>
      </c>
      <c r="AK6" s="81">
        <f t="shared" ref="AK6" si="7">IFERROR(AK5/AJ5,0)</f>
        <v>0</v>
      </c>
      <c r="AL6" s="81">
        <f t="shared" ref="AL6" si="8">IFERROR(AL5/AK5,0)</f>
        <v>0</v>
      </c>
      <c r="AM6" s="81">
        <f t="shared" ref="AM6" si="9">IFERROR(AM5/AL5,0)</f>
        <v>0</v>
      </c>
      <c r="AN6" s="81">
        <f t="shared" ref="AN6" si="10">IFERROR(AN5/AM5,0)</f>
        <v>0</v>
      </c>
      <c r="AO6" s="81">
        <f t="shared" ref="AO6" si="11">IFERROR(AO5/AN5,0)</f>
        <v>0</v>
      </c>
    </row>
    <row r="7" spans="1:42" s="77" customFormat="1">
      <c r="A7" s="26"/>
      <c r="B7" s="6"/>
      <c r="C7" s="6" t="s">
        <v>15</v>
      </c>
      <c r="D7" s="6"/>
      <c r="E7" s="6"/>
      <c r="F7" s="6"/>
      <c r="G7" s="6"/>
      <c r="H7" s="1"/>
      <c r="I7" s="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2" s="77" customFormat="1">
      <c r="A8" s="26"/>
      <c r="B8" s="6"/>
      <c r="C8" s="6"/>
      <c r="D8" s="6" t="s">
        <v>20</v>
      </c>
      <c r="E8" s="6"/>
      <c r="F8" s="6"/>
      <c r="G8" s="6"/>
      <c r="H8" s="1" t="str">
        <f>H4</f>
        <v>тыс. куб. м.</v>
      </c>
      <c r="I8" s="6"/>
      <c r="J8" s="76"/>
      <c r="K8" s="76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159"/>
    </row>
    <row r="9" spans="1:42" s="77" customFormat="1">
      <c r="A9" s="26"/>
      <c r="B9" s="6"/>
      <c r="C9" s="6"/>
      <c r="D9" s="6" t="s">
        <v>0</v>
      </c>
      <c r="E9" s="6"/>
      <c r="F9" s="6"/>
      <c r="G9" s="6"/>
      <c r="H9" s="1" t="s">
        <v>39</v>
      </c>
      <c r="I9" s="6"/>
      <c r="J9" s="76"/>
      <c r="K9" s="76"/>
      <c r="L9" s="78"/>
      <c r="M9" s="78">
        <f>L9*1.04</f>
        <v>0</v>
      </c>
      <c r="N9" s="78">
        <f t="shared" ref="N9:AJ9" si="12">M9*1.04</f>
        <v>0</v>
      </c>
      <c r="O9" s="78">
        <f t="shared" si="12"/>
        <v>0</v>
      </c>
      <c r="P9" s="78">
        <f t="shared" si="12"/>
        <v>0</v>
      </c>
      <c r="Q9" s="78">
        <f t="shared" si="12"/>
        <v>0</v>
      </c>
      <c r="R9" s="78">
        <f t="shared" si="12"/>
        <v>0</v>
      </c>
      <c r="S9" s="78">
        <f t="shared" si="12"/>
        <v>0</v>
      </c>
      <c r="T9" s="78">
        <f t="shared" si="12"/>
        <v>0</v>
      </c>
      <c r="U9" s="78">
        <f t="shared" si="12"/>
        <v>0</v>
      </c>
      <c r="V9" s="78">
        <f t="shared" si="12"/>
        <v>0</v>
      </c>
      <c r="W9" s="78">
        <f t="shared" si="12"/>
        <v>0</v>
      </c>
      <c r="X9" s="78">
        <f t="shared" si="12"/>
        <v>0</v>
      </c>
      <c r="Y9" s="78">
        <f t="shared" si="12"/>
        <v>0</v>
      </c>
      <c r="Z9" s="78">
        <f t="shared" si="12"/>
        <v>0</v>
      </c>
      <c r="AA9" s="78">
        <f t="shared" si="12"/>
        <v>0</v>
      </c>
      <c r="AB9" s="78">
        <f t="shared" si="12"/>
        <v>0</v>
      </c>
      <c r="AC9" s="78">
        <f t="shared" si="12"/>
        <v>0</v>
      </c>
      <c r="AD9" s="78">
        <f t="shared" si="12"/>
        <v>0</v>
      </c>
      <c r="AE9" s="78">
        <f t="shared" si="12"/>
        <v>0</v>
      </c>
      <c r="AF9" s="78">
        <f t="shared" si="12"/>
        <v>0</v>
      </c>
      <c r="AG9" s="78">
        <f t="shared" si="12"/>
        <v>0</v>
      </c>
      <c r="AH9" s="78">
        <f t="shared" si="12"/>
        <v>0</v>
      </c>
      <c r="AI9" s="78">
        <f t="shared" si="12"/>
        <v>0</v>
      </c>
      <c r="AJ9" s="78">
        <f t="shared" si="12"/>
        <v>0</v>
      </c>
      <c r="AK9" s="78">
        <f t="shared" ref="AK9" si="13">AJ9*1.04</f>
        <v>0</v>
      </c>
      <c r="AL9" s="78">
        <f t="shared" ref="AL9" si="14">AK9*1.04</f>
        <v>0</v>
      </c>
      <c r="AM9" s="78">
        <f t="shared" ref="AM9" si="15">AL9*1.04</f>
        <v>0</v>
      </c>
      <c r="AN9" s="78">
        <f t="shared" ref="AN9" si="16">AM9*1.04</f>
        <v>0</v>
      </c>
      <c r="AO9" s="78">
        <f t="shared" ref="AO9" si="17">AN9*1.04</f>
        <v>0</v>
      </c>
      <c r="AP9" s="159"/>
    </row>
    <row r="10" spans="1:42" s="77" customFormat="1">
      <c r="A10" s="26"/>
      <c r="B10" s="6" t="s">
        <v>12</v>
      </c>
      <c r="C10" s="6"/>
      <c r="D10" s="6"/>
      <c r="E10" s="6"/>
      <c r="F10" s="6"/>
      <c r="G10" s="6"/>
      <c r="H10" s="1"/>
      <c r="I10" s="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</row>
    <row r="11" spans="1:42" s="77" customFormat="1">
      <c r="A11" s="26"/>
      <c r="B11" s="6"/>
      <c r="C11" s="6" t="s">
        <v>14</v>
      </c>
      <c r="D11" s="6"/>
      <c r="E11" s="6"/>
      <c r="F11" s="6"/>
      <c r="G11" s="6"/>
      <c r="H11" s="1"/>
      <c r="I11" s="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</row>
    <row r="12" spans="1:42" s="77" customFormat="1">
      <c r="A12" s="26"/>
      <c r="B12" s="6"/>
      <c r="C12" s="6"/>
      <c r="D12" s="6" t="s">
        <v>20</v>
      </c>
      <c r="E12" s="6"/>
      <c r="F12" s="6"/>
      <c r="G12" s="6"/>
      <c r="H12" s="1" t="s">
        <v>26</v>
      </c>
      <c r="I12" s="6"/>
      <c r="J12" s="76"/>
      <c r="K12" s="76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159"/>
    </row>
    <row r="13" spans="1:42" s="77" customFormat="1">
      <c r="A13" s="26"/>
      <c r="B13" s="6"/>
      <c r="C13" s="6"/>
      <c r="D13" s="6" t="s">
        <v>0</v>
      </c>
      <c r="E13" s="6"/>
      <c r="F13" s="6"/>
      <c r="G13" s="6"/>
      <c r="H13" s="1" t="s">
        <v>39</v>
      </c>
      <c r="I13" s="6"/>
      <c r="J13" s="76"/>
      <c r="K13" s="76"/>
      <c r="L13" s="155"/>
      <c r="M13" s="155">
        <f t="shared" ref="M13" si="18">L13*1.04</f>
        <v>0</v>
      </c>
      <c r="N13" s="155">
        <f t="shared" ref="N13:AJ13" si="19">M13*1.04</f>
        <v>0</v>
      </c>
      <c r="O13" s="155">
        <f t="shared" si="19"/>
        <v>0</v>
      </c>
      <c r="P13" s="155">
        <f t="shared" si="19"/>
        <v>0</v>
      </c>
      <c r="Q13" s="155">
        <f t="shared" si="19"/>
        <v>0</v>
      </c>
      <c r="R13" s="155">
        <f t="shared" si="19"/>
        <v>0</v>
      </c>
      <c r="S13" s="155">
        <f t="shared" si="19"/>
        <v>0</v>
      </c>
      <c r="T13" s="155">
        <f t="shared" si="19"/>
        <v>0</v>
      </c>
      <c r="U13" s="155">
        <f t="shared" si="19"/>
        <v>0</v>
      </c>
      <c r="V13" s="155">
        <f t="shared" si="19"/>
        <v>0</v>
      </c>
      <c r="W13" s="155">
        <f t="shared" si="19"/>
        <v>0</v>
      </c>
      <c r="X13" s="155">
        <f t="shared" si="19"/>
        <v>0</v>
      </c>
      <c r="Y13" s="155">
        <f t="shared" si="19"/>
        <v>0</v>
      </c>
      <c r="Z13" s="155">
        <f t="shared" si="19"/>
        <v>0</v>
      </c>
      <c r="AA13" s="155">
        <f t="shared" si="19"/>
        <v>0</v>
      </c>
      <c r="AB13" s="155">
        <f t="shared" si="19"/>
        <v>0</v>
      </c>
      <c r="AC13" s="155">
        <f t="shared" si="19"/>
        <v>0</v>
      </c>
      <c r="AD13" s="155">
        <f t="shared" si="19"/>
        <v>0</v>
      </c>
      <c r="AE13" s="155">
        <f t="shared" si="19"/>
        <v>0</v>
      </c>
      <c r="AF13" s="155">
        <f t="shared" si="19"/>
        <v>0</v>
      </c>
      <c r="AG13" s="155">
        <f t="shared" si="19"/>
        <v>0</v>
      </c>
      <c r="AH13" s="155">
        <f t="shared" si="19"/>
        <v>0</v>
      </c>
      <c r="AI13" s="155">
        <f t="shared" si="19"/>
        <v>0</v>
      </c>
      <c r="AJ13" s="155">
        <f t="shared" si="19"/>
        <v>0</v>
      </c>
      <c r="AK13" s="155">
        <f t="shared" ref="AK13" si="20">AJ13*1.04</f>
        <v>0</v>
      </c>
      <c r="AL13" s="155">
        <f t="shared" ref="AL13" si="21">AK13*1.04</f>
        <v>0</v>
      </c>
      <c r="AM13" s="155">
        <f t="shared" ref="AM13" si="22">AL13*1.04</f>
        <v>0</v>
      </c>
      <c r="AN13" s="155">
        <f t="shared" ref="AN13" si="23">AM13*1.04</f>
        <v>0</v>
      </c>
      <c r="AO13" s="155">
        <f t="shared" ref="AO13" si="24">AN13*1.04</f>
        <v>0</v>
      </c>
      <c r="AP13" s="160"/>
    </row>
    <row r="14" spans="1:42" s="80" customFormat="1">
      <c r="B14" s="81"/>
      <c r="C14" s="81"/>
      <c r="D14" s="82" t="s">
        <v>7</v>
      </c>
      <c r="E14" s="81"/>
      <c r="F14" s="81"/>
      <c r="G14" s="81"/>
      <c r="H14" s="83" t="s">
        <v>8</v>
      </c>
      <c r="I14" s="81"/>
      <c r="J14" s="81"/>
      <c r="K14" s="81"/>
      <c r="L14" s="81"/>
      <c r="M14" s="81">
        <f>IFERROR(M13/L13,0)</f>
        <v>0</v>
      </c>
      <c r="N14" s="81">
        <f t="shared" ref="N14:AJ14" si="25">IFERROR(N13/M13,0)</f>
        <v>0</v>
      </c>
      <c r="O14" s="81">
        <f t="shared" si="25"/>
        <v>0</v>
      </c>
      <c r="P14" s="81">
        <f t="shared" si="25"/>
        <v>0</v>
      </c>
      <c r="Q14" s="81">
        <f t="shared" si="25"/>
        <v>0</v>
      </c>
      <c r="R14" s="81">
        <f t="shared" si="25"/>
        <v>0</v>
      </c>
      <c r="S14" s="81">
        <f t="shared" si="25"/>
        <v>0</v>
      </c>
      <c r="T14" s="81">
        <f t="shared" si="25"/>
        <v>0</v>
      </c>
      <c r="U14" s="81">
        <f t="shared" si="25"/>
        <v>0</v>
      </c>
      <c r="V14" s="81">
        <f t="shared" si="25"/>
        <v>0</v>
      </c>
      <c r="W14" s="81">
        <f t="shared" si="25"/>
        <v>0</v>
      </c>
      <c r="X14" s="81">
        <f t="shared" si="25"/>
        <v>0</v>
      </c>
      <c r="Y14" s="81">
        <f t="shared" si="25"/>
        <v>0</v>
      </c>
      <c r="Z14" s="81">
        <f t="shared" si="25"/>
        <v>0</v>
      </c>
      <c r="AA14" s="81">
        <f t="shared" si="25"/>
        <v>0</v>
      </c>
      <c r="AB14" s="81">
        <f t="shared" si="25"/>
        <v>0</v>
      </c>
      <c r="AC14" s="81">
        <f t="shared" si="25"/>
        <v>0</v>
      </c>
      <c r="AD14" s="81">
        <f t="shared" si="25"/>
        <v>0</v>
      </c>
      <c r="AE14" s="81">
        <f t="shared" si="25"/>
        <v>0</v>
      </c>
      <c r="AF14" s="81">
        <f t="shared" si="25"/>
        <v>0</v>
      </c>
      <c r="AG14" s="81">
        <f t="shared" si="25"/>
        <v>0</v>
      </c>
      <c r="AH14" s="81">
        <f t="shared" si="25"/>
        <v>0</v>
      </c>
      <c r="AI14" s="81">
        <f t="shared" si="25"/>
        <v>0</v>
      </c>
      <c r="AJ14" s="81">
        <f t="shared" si="25"/>
        <v>0</v>
      </c>
      <c r="AK14" s="81">
        <f t="shared" ref="AK14" si="26">IFERROR(AK13/AJ13,0)</f>
        <v>0</v>
      </c>
      <c r="AL14" s="81">
        <f t="shared" ref="AL14" si="27">IFERROR(AL13/AK13,0)</f>
        <v>0</v>
      </c>
      <c r="AM14" s="81">
        <f t="shared" ref="AM14" si="28">IFERROR(AM13/AL13,0)</f>
        <v>0</v>
      </c>
      <c r="AN14" s="81">
        <f t="shared" ref="AN14" si="29">IFERROR(AN13/AM13,0)</f>
        <v>0</v>
      </c>
      <c r="AO14" s="81">
        <f t="shared" ref="AO14" si="30">IFERROR(AO13/AN13,0)</f>
        <v>0</v>
      </c>
    </row>
    <row r="15" spans="1:42" s="77" customFormat="1">
      <c r="A15" s="26"/>
      <c r="B15" s="6"/>
      <c r="C15" s="6" t="s">
        <v>15</v>
      </c>
      <c r="D15" s="6"/>
      <c r="E15" s="6"/>
      <c r="F15" s="6"/>
      <c r="G15" s="6"/>
      <c r="H15" s="1"/>
      <c r="I15" s="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</row>
    <row r="16" spans="1:42" s="77" customFormat="1">
      <c r="A16" s="26"/>
      <c r="B16" s="6"/>
      <c r="C16" s="6"/>
      <c r="D16" s="6" t="s">
        <v>20</v>
      </c>
      <c r="E16" s="6"/>
      <c r="F16" s="6"/>
      <c r="G16" s="6"/>
      <c r="H16" s="1" t="str">
        <f>H12</f>
        <v>тыс. куб. м.</v>
      </c>
      <c r="I16" s="6"/>
      <c r="J16" s="76"/>
      <c r="K16" s="76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159"/>
    </row>
    <row r="17" spans="1:42" s="77" customFormat="1">
      <c r="A17" s="26"/>
      <c r="B17" s="6"/>
      <c r="C17" s="6"/>
      <c r="D17" s="6" t="s">
        <v>0</v>
      </c>
      <c r="E17" s="6"/>
      <c r="F17" s="6"/>
      <c r="G17" s="6"/>
      <c r="H17" s="1" t="s">
        <v>39</v>
      </c>
      <c r="I17" s="6"/>
      <c r="J17" s="76"/>
      <c r="K17" s="76"/>
      <c r="L17" s="78"/>
      <c r="M17" s="78">
        <f>L17*1.04</f>
        <v>0</v>
      </c>
      <c r="N17" s="78">
        <f t="shared" ref="N17:AJ17" si="31">M17*1.04</f>
        <v>0</v>
      </c>
      <c r="O17" s="78">
        <f t="shared" si="31"/>
        <v>0</v>
      </c>
      <c r="P17" s="78">
        <f t="shared" si="31"/>
        <v>0</v>
      </c>
      <c r="Q17" s="78">
        <f t="shared" si="31"/>
        <v>0</v>
      </c>
      <c r="R17" s="78">
        <f t="shared" si="31"/>
        <v>0</v>
      </c>
      <c r="S17" s="78">
        <f t="shared" si="31"/>
        <v>0</v>
      </c>
      <c r="T17" s="78">
        <f t="shared" si="31"/>
        <v>0</v>
      </c>
      <c r="U17" s="78">
        <f t="shared" si="31"/>
        <v>0</v>
      </c>
      <c r="V17" s="78">
        <f t="shared" si="31"/>
        <v>0</v>
      </c>
      <c r="W17" s="78">
        <f t="shared" si="31"/>
        <v>0</v>
      </c>
      <c r="X17" s="78">
        <f t="shared" si="31"/>
        <v>0</v>
      </c>
      <c r="Y17" s="78">
        <f t="shared" si="31"/>
        <v>0</v>
      </c>
      <c r="Z17" s="78">
        <f t="shared" si="31"/>
        <v>0</v>
      </c>
      <c r="AA17" s="78">
        <f t="shared" si="31"/>
        <v>0</v>
      </c>
      <c r="AB17" s="78">
        <f t="shared" si="31"/>
        <v>0</v>
      </c>
      <c r="AC17" s="78">
        <f t="shared" si="31"/>
        <v>0</v>
      </c>
      <c r="AD17" s="78">
        <f t="shared" si="31"/>
        <v>0</v>
      </c>
      <c r="AE17" s="78">
        <f t="shared" si="31"/>
        <v>0</v>
      </c>
      <c r="AF17" s="78">
        <f t="shared" si="31"/>
        <v>0</v>
      </c>
      <c r="AG17" s="78">
        <f t="shared" si="31"/>
        <v>0</v>
      </c>
      <c r="AH17" s="78">
        <f t="shared" si="31"/>
        <v>0</v>
      </c>
      <c r="AI17" s="78">
        <f t="shared" si="31"/>
        <v>0</v>
      </c>
      <c r="AJ17" s="78">
        <f t="shared" si="31"/>
        <v>0</v>
      </c>
      <c r="AK17" s="78">
        <f t="shared" ref="AK17" si="32">AJ17*1.04</f>
        <v>0</v>
      </c>
      <c r="AL17" s="78">
        <f t="shared" ref="AL17" si="33">AK17*1.04</f>
        <v>0</v>
      </c>
      <c r="AM17" s="78">
        <f t="shared" ref="AM17" si="34">AL17*1.04</f>
        <v>0</v>
      </c>
      <c r="AN17" s="78">
        <f t="shared" ref="AN17" si="35">AM17*1.04</f>
        <v>0</v>
      </c>
      <c r="AO17" s="78">
        <f t="shared" ref="AO17" si="36">AN17*1.04</f>
        <v>0</v>
      </c>
      <c r="AP17" s="159"/>
    </row>
    <row r="18" spans="1:42" s="77" customFormat="1">
      <c r="A18" s="26"/>
      <c r="B18" s="6" t="s">
        <v>178</v>
      </c>
      <c r="C18" s="6"/>
      <c r="D18" s="6"/>
      <c r="E18" s="6"/>
      <c r="F18" s="6"/>
      <c r="G18" s="6"/>
      <c r="H18" s="1"/>
      <c r="I18" s="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</row>
    <row r="19" spans="1:42" s="77" customFormat="1">
      <c r="A19" s="26"/>
      <c r="B19" s="6"/>
      <c r="C19" s="6" t="s">
        <v>14</v>
      </c>
      <c r="D19" s="6"/>
      <c r="E19" s="6"/>
      <c r="F19" s="6"/>
      <c r="G19" s="6"/>
      <c r="H19" s="1"/>
      <c r="I19" s="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</row>
    <row r="20" spans="1:42" s="77" customFormat="1">
      <c r="A20" s="26"/>
      <c r="B20" s="6"/>
      <c r="C20" s="6"/>
      <c r="D20" s="6" t="s">
        <v>20</v>
      </c>
      <c r="E20" s="6"/>
      <c r="F20" s="6"/>
      <c r="G20" s="6"/>
      <c r="H20" s="1" t="s">
        <v>52</v>
      </c>
      <c r="I20" s="6"/>
      <c r="J20" s="76"/>
      <c r="K20" s="76"/>
      <c r="L20" s="78">
        <v>200</v>
      </c>
      <c r="M20" s="78">
        <v>200</v>
      </c>
      <c r="N20" s="78">
        <v>200</v>
      </c>
      <c r="O20" s="78">
        <v>200</v>
      </c>
      <c r="P20" s="78">
        <v>200</v>
      </c>
      <c r="Q20" s="78">
        <v>200</v>
      </c>
      <c r="R20" s="78">
        <v>200</v>
      </c>
      <c r="S20" s="78">
        <v>200</v>
      </c>
      <c r="T20" s="78">
        <v>200</v>
      </c>
      <c r="U20" s="78">
        <v>200</v>
      </c>
      <c r="V20" s="78">
        <v>200</v>
      </c>
      <c r="W20" s="78">
        <v>200</v>
      </c>
      <c r="X20" s="78">
        <v>200</v>
      </c>
      <c r="Y20" s="78">
        <v>200</v>
      </c>
      <c r="Z20" s="78">
        <v>200</v>
      </c>
      <c r="AA20" s="78">
        <v>200</v>
      </c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159"/>
    </row>
    <row r="21" spans="1:42" s="77" customFormat="1">
      <c r="A21" s="26"/>
      <c r="B21" s="6"/>
      <c r="C21" s="6"/>
      <c r="D21" s="6" t="s">
        <v>0</v>
      </c>
      <c r="E21" s="6"/>
      <c r="F21" s="6"/>
      <c r="G21" s="6"/>
      <c r="H21" s="1" t="s">
        <v>53</v>
      </c>
      <c r="I21" s="6"/>
      <c r="J21" s="76"/>
      <c r="K21" s="76"/>
      <c r="L21" s="78">
        <v>2000</v>
      </c>
      <c r="M21" s="78">
        <f>L21*1.04</f>
        <v>2080</v>
      </c>
      <c r="N21" s="78">
        <f t="shared" ref="N21:AJ21" si="37">M21*1.04</f>
        <v>2163.2000000000003</v>
      </c>
      <c r="O21" s="78">
        <f t="shared" si="37"/>
        <v>2249.7280000000005</v>
      </c>
      <c r="P21" s="78">
        <f t="shared" si="37"/>
        <v>2339.7171200000007</v>
      </c>
      <c r="Q21" s="78">
        <f t="shared" si="37"/>
        <v>2433.3058048000007</v>
      </c>
      <c r="R21" s="78">
        <f t="shared" si="37"/>
        <v>2530.6380369920007</v>
      </c>
      <c r="S21" s="78">
        <f t="shared" si="37"/>
        <v>2631.8635584716808</v>
      </c>
      <c r="T21" s="78">
        <f t="shared" si="37"/>
        <v>2737.1381008105482</v>
      </c>
      <c r="U21" s="78">
        <f t="shared" si="37"/>
        <v>2846.62362484297</v>
      </c>
      <c r="V21" s="78">
        <f t="shared" si="37"/>
        <v>2960.4885698366888</v>
      </c>
      <c r="W21" s="78">
        <f t="shared" si="37"/>
        <v>3078.9081126301567</v>
      </c>
      <c r="X21" s="78">
        <f t="shared" si="37"/>
        <v>3202.0644371353628</v>
      </c>
      <c r="Y21" s="78">
        <f t="shared" si="37"/>
        <v>3330.1470146207776</v>
      </c>
      <c r="Z21" s="78">
        <f t="shared" si="37"/>
        <v>3463.3528952056085</v>
      </c>
      <c r="AA21" s="78">
        <f t="shared" si="37"/>
        <v>3601.8870110138332</v>
      </c>
      <c r="AB21" s="78">
        <f t="shared" si="37"/>
        <v>3745.9624914543865</v>
      </c>
      <c r="AC21" s="78">
        <f t="shared" si="37"/>
        <v>3895.8009911125623</v>
      </c>
      <c r="AD21" s="78">
        <f t="shared" si="37"/>
        <v>4051.6330307570652</v>
      </c>
      <c r="AE21" s="78">
        <f t="shared" si="37"/>
        <v>4213.6983519873484</v>
      </c>
      <c r="AF21" s="78">
        <f t="shared" si="37"/>
        <v>4382.246286066842</v>
      </c>
      <c r="AG21" s="78">
        <f t="shared" si="37"/>
        <v>4557.5361375095163</v>
      </c>
      <c r="AH21" s="78">
        <f t="shared" si="37"/>
        <v>4739.8375830098967</v>
      </c>
      <c r="AI21" s="78">
        <f t="shared" si="37"/>
        <v>4929.4310863302926</v>
      </c>
      <c r="AJ21" s="78">
        <f t="shared" si="37"/>
        <v>5126.6083297835048</v>
      </c>
      <c r="AK21" s="78">
        <f t="shared" ref="AK21" si="38">AJ21*1.04</f>
        <v>5331.6726629748455</v>
      </c>
      <c r="AL21" s="78">
        <f t="shared" ref="AL21" si="39">AK21*1.04</f>
        <v>5544.9395694938394</v>
      </c>
      <c r="AM21" s="78">
        <f t="shared" ref="AM21" si="40">AL21*1.04</f>
        <v>5766.737152273593</v>
      </c>
      <c r="AN21" s="78">
        <f t="shared" ref="AN21" si="41">AM21*1.04</f>
        <v>5997.4066383645368</v>
      </c>
      <c r="AO21" s="78">
        <f t="shared" ref="AO21" si="42">AN21*1.04</f>
        <v>6237.3029038991181</v>
      </c>
      <c r="AP21" s="159"/>
    </row>
    <row r="22" spans="1:42" s="80" customFormat="1">
      <c r="B22" s="81"/>
      <c r="C22" s="81"/>
      <c r="D22" s="82" t="s">
        <v>7</v>
      </c>
      <c r="E22" s="81"/>
      <c r="F22" s="81"/>
      <c r="G22" s="81"/>
      <c r="H22" s="83" t="s">
        <v>8</v>
      </c>
      <c r="I22" s="81"/>
      <c r="J22" s="81"/>
      <c r="K22" s="81"/>
      <c r="L22" s="81"/>
      <c r="M22" s="81">
        <f>IFERROR(M21/L21,0)</f>
        <v>1.04</v>
      </c>
      <c r="N22" s="81">
        <f t="shared" ref="N22:AJ22" si="43">IFERROR(N21/M21,0)</f>
        <v>1.04</v>
      </c>
      <c r="O22" s="81">
        <f t="shared" si="43"/>
        <v>1.04</v>
      </c>
      <c r="P22" s="81">
        <f t="shared" si="43"/>
        <v>1.04</v>
      </c>
      <c r="Q22" s="81">
        <f t="shared" si="43"/>
        <v>1.04</v>
      </c>
      <c r="R22" s="81">
        <f t="shared" si="43"/>
        <v>1.04</v>
      </c>
      <c r="S22" s="81">
        <f t="shared" si="43"/>
        <v>1.04</v>
      </c>
      <c r="T22" s="81">
        <f t="shared" si="43"/>
        <v>1.04</v>
      </c>
      <c r="U22" s="81">
        <f t="shared" si="43"/>
        <v>1.04</v>
      </c>
      <c r="V22" s="81">
        <f t="shared" si="43"/>
        <v>1.04</v>
      </c>
      <c r="W22" s="81">
        <f t="shared" si="43"/>
        <v>1.04</v>
      </c>
      <c r="X22" s="81">
        <f t="shared" si="43"/>
        <v>1.04</v>
      </c>
      <c r="Y22" s="81">
        <f t="shared" si="43"/>
        <v>1.04</v>
      </c>
      <c r="Z22" s="81">
        <f t="shared" si="43"/>
        <v>1.04</v>
      </c>
      <c r="AA22" s="81">
        <f t="shared" si="43"/>
        <v>1.04</v>
      </c>
      <c r="AB22" s="81">
        <f t="shared" si="43"/>
        <v>1.04</v>
      </c>
      <c r="AC22" s="81">
        <f t="shared" si="43"/>
        <v>1.04</v>
      </c>
      <c r="AD22" s="81">
        <f t="shared" si="43"/>
        <v>1.04</v>
      </c>
      <c r="AE22" s="81">
        <f t="shared" si="43"/>
        <v>1.04</v>
      </c>
      <c r="AF22" s="81">
        <f t="shared" si="43"/>
        <v>1.04</v>
      </c>
      <c r="AG22" s="81">
        <f t="shared" si="43"/>
        <v>1.04</v>
      </c>
      <c r="AH22" s="81">
        <f t="shared" si="43"/>
        <v>1.04</v>
      </c>
      <c r="AI22" s="81">
        <f t="shared" si="43"/>
        <v>1.04</v>
      </c>
      <c r="AJ22" s="81">
        <f t="shared" si="43"/>
        <v>1.04</v>
      </c>
      <c r="AK22" s="81">
        <f t="shared" ref="AK22" si="44">IFERROR(AK21/AJ21,0)</f>
        <v>1.04</v>
      </c>
      <c r="AL22" s="81">
        <f t="shared" ref="AL22" si="45">IFERROR(AL21/AK21,0)</f>
        <v>1.04</v>
      </c>
      <c r="AM22" s="81">
        <f t="shared" ref="AM22" si="46">IFERROR(AM21/AL21,0)</f>
        <v>1.04</v>
      </c>
      <c r="AN22" s="81">
        <f t="shared" ref="AN22" si="47">IFERROR(AN21/AM21,0)</f>
        <v>1.04</v>
      </c>
      <c r="AO22" s="81">
        <f t="shared" ref="AO22" si="48">IFERROR(AO21/AN21,0)</f>
        <v>1.04</v>
      </c>
    </row>
    <row r="23" spans="1:42" s="77" customFormat="1">
      <c r="A23" s="26"/>
      <c r="B23" s="6"/>
      <c r="C23" s="6" t="s">
        <v>15</v>
      </c>
      <c r="D23" s="6"/>
      <c r="E23" s="6"/>
      <c r="F23" s="6"/>
      <c r="G23" s="6"/>
      <c r="H23" s="1"/>
      <c r="I23" s="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</row>
    <row r="24" spans="1:42" s="77" customFormat="1">
      <c r="A24" s="26"/>
      <c r="B24" s="6"/>
      <c r="C24" s="6"/>
      <c r="D24" s="6" t="s">
        <v>10</v>
      </c>
      <c r="E24" s="6"/>
      <c r="F24" s="6"/>
      <c r="G24" s="6"/>
      <c r="H24" s="1" t="str">
        <f>H20</f>
        <v>тыс. Гкал</v>
      </c>
      <c r="I24" s="6"/>
      <c r="J24" s="76"/>
      <c r="K24" s="76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159"/>
    </row>
    <row r="25" spans="1:42" s="77" customFormat="1">
      <c r="A25" s="26"/>
      <c r="B25" s="6"/>
      <c r="C25" s="6"/>
      <c r="D25" s="6" t="s">
        <v>0</v>
      </c>
      <c r="E25" s="6"/>
      <c r="F25" s="6"/>
      <c r="G25" s="6"/>
      <c r="H25" s="1" t="s">
        <v>53</v>
      </c>
      <c r="I25" s="6"/>
      <c r="J25" s="76"/>
      <c r="K25" s="76"/>
      <c r="L25" s="78"/>
      <c r="M25" s="78">
        <f>L25*1.04</f>
        <v>0</v>
      </c>
      <c r="N25" s="78">
        <f t="shared" ref="N25:AJ25" si="49">M25*1.04</f>
        <v>0</v>
      </c>
      <c r="O25" s="78">
        <f t="shared" si="49"/>
        <v>0</v>
      </c>
      <c r="P25" s="78">
        <f t="shared" si="49"/>
        <v>0</v>
      </c>
      <c r="Q25" s="78">
        <f t="shared" si="49"/>
        <v>0</v>
      </c>
      <c r="R25" s="78">
        <f t="shared" si="49"/>
        <v>0</v>
      </c>
      <c r="S25" s="78">
        <f t="shared" si="49"/>
        <v>0</v>
      </c>
      <c r="T25" s="78">
        <f t="shared" si="49"/>
        <v>0</v>
      </c>
      <c r="U25" s="78">
        <f t="shared" si="49"/>
        <v>0</v>
      </c>
      <c r="V25" s="78">
        <f t="shared" si="49"/>
        <v>0</v>
      </c>
      <c r="W25" s="78">
        <f t="shared" si="49"/>
        <v>0</v>
      </c>
      <c r="X25" s="78">
        <f t="shared" si="49"/>
        <v>0</v>
      </c>
      <c r="Y25" s="78">
        <f t="shared" si="49"/>
        <v>0</v>
      </c>
      <c r="Z25" s="78">
        <f t="shared" si="49"/>
        <v>0</v>
      </c>
      <c r="AA25" s="78">
        <f t="shared" si="49"/>
        <v>0</v>
      </c>
      <c r="AB25" s="78">
        <f t="shared" si="49"/>
        <v>0</v>
      </c>
      <c r="AC25" s="78">
        <f t="shared" si="49"/>
        <v>0</v>
      </c>
      <c r="AD25" s="78">
        <f t="shared" si="49"/>
        <v>0</v>
      </c>
      <c r="AE25" s="78">
        <f t="shared" si="49"/>
        <v>0</v>
      </c>
      <c r="AF25" s="78">
        <f t="shared" si="49"/>
        <v>0</v>
      </c>
      <c r="AG25" s="78">
        <f t="shared" si="49"/>
        <v>0</v>
      </c>
      <c r="AH25" s="78">
        <f t="shared" si="49"/>
        <v>0</v>
      </c>
      <c r="AI25" s="78">
        <f t="shared" si="49"/>
        <v>0</v>
      </c>
      <c r="AJ25" s="78">
        <f t="shared" si="49"/>
        <v>0</v>
      </c>
      <c r="AK25" s="78">
        <f t="shared" ref="AK25" si="50">AJ25*1.04</f>
        <v>0</v>
      </c>
      <c r="AL25" s="78">
        <f t="shared" ref="AL25" si="51">AK25*1.04</f>
        <v>0</v>
      </c>
      <c r="AM25" s="78">
        <f t="shared" ref="AM25" si="52">AL25*1.04</f>
        <v>0</v>
      </c>
      <c r="AN25" s="78">
        <f t="shared" ref="AN25" si="53">AM25*1.04</f>
        <v>0</v>
      </c>
      <c r="AO25" s="78">
        <f t="shared" ref="AO25" si="54">AN25*1.04</f>
        <v>0</v>
      </c>
      <c r="AP25" s="159"/>
    </row>
    <row r="26" spans="1:42" s="77" customFormat="1" ht="5.0999999999999996" customHeight="1">
      <c r="A26" s="26"/>
      <c r="B26" s="6"/>
      <c r="C26" s="6"/>
      <c r="D26" s="6"/>
      <c r="E26" s="6"/>
      <c r="F26" s="6"/>
      <c r="G26" s="6"/>
      <c r="H26" s="1"/>
      <c r="I26" s="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</row>
    <row r="27" spans="1:42" s="77" customFormat="1" ht="13.5" thickBot="1">
      <c r="A27" s="26"/>
      <c r="B27" s="6" t="s">
        <v>21</v>
      </c>
      <c r="C27" s="6"/>
      <c r="D27" s="6"/>
      <c r="E27" s="6"/>
      <c r="F27" s="6"/>
      <c r="G27" s="6"/>
      <c r="H27" s="2"/>
      <c r="I27" s="6"/>
      <c r="J27" s="79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</row>
    <row r="28" spans="1:42" s="84" customFormat="1">
      <c r="B28" s="8"/>
      <c r="C28" s="8" t="s">
        <v>14</v>
      </c>
      <c r="D28" s="8"/>
      <c r="E28" s="8"/>
      <c r="F28" s="8"/>
      <c r="G28" s="8"/>
      <c r="H28" s="37" t="s">
        <v>8</v>
      </c>
      <c r="I28" s="8"/>
      <c r="J28" s="176">
        <v>0.95</v>
      </c>
      <c r="K28" s="8"/>
      <c r="L28" s="8">
        <f>J28</f>
        <v>0.95</v>
      </c>
      <c r="M28" s="8">
        <f>L28</f>
        <v>0.95</v>
      </c>
      <c r="N28" s="8">
        <f t="shared" ref="N28:AJ28" si="55">M28</f>
        <v>0.95</v>
      </c>
      <c r="O28" s="8">
        <f t="shared" si="55"/>
        <v>0.95</v>
      </c>
      <c r="P28" s="8">
        <f t="shared" si="55"/>
        <v>0.95</v>
      </c>
      <c r="Q28" s="8">
        <f t="shared" si="55"/>
        <v>0.95</v>
      </c>
      <c r="R28" s="8">
        <f t="shared" si="55"/>
        <v>0.95</v>
      </c>
      <c r="S28" s="8">
        <f t="shared" si="55"/>
        <v>0.95</v>
      </c>
      <c r="T28" s="8">
        <f t="shared" si="55"/>
        <v>0.95</v>
      </c>
      <c r="U28" s="8">
        <f t="shared" si="55"/>
        <v>0.95</v>
      </c>
      <c r="V28" s="8">
        <f t="shared" si="55"/>
        <v>0.95</v>
      </c>
      <c r="W28" s="8">
        <f t="shared" si="55"/>
        <v>0.95</v>
      </c>
      <c r="X28" s="8">
        <f t="shared" si="55"/>
        <v>0.95</v>
      </c>
      <c r="Y28" s="8">
        <f t="shared" si="55"/>
        <v>0.95</v>
      </c>
      <c r="Z28" s="8">
        <f t="shared" si="55"/>
        <v>0.95</v>
      </c>
      <c r="AA28" s="8">
        <f t="shared" si="55"/>
        <v>0.95</v>
      </c>
      <c r="AB28" s="8">
        <f t="shared" si="55"/>
        <v>0.95</v>
      </c>
      <c r="AC28" s="8">
        <f t="shared" si="55"/>
        <v>0.95</v>
      </c>
      <c r="AD28" s="8">
        <f t="shared" si="55"/>
        <v>0.95</v>
      </c>
      <c r="AE28" s="8">
        <f t="shared" si="55"/>
        <v>0.95</v>
      </c>
      <c r="AF28" s="8">
        <f t="shared" si="55"/>
        <v>0.95</v>
      </c>
      <c r="AG28" s="8">
        <f t="shared" si="55"/>
        <v>0.95</v>
      </c>
      <c r="AH28" s="8">
        <f t="shared" si="55"/>
        <v>0.95</v>
      </c>
      <c r="AI28" s="8">
        <f t="shared" si="55"/>
        <v>0.95</v>
      </c>
      <c r="AJ28" s="8">
        <f t="shared" si="55"/>
        <v>0.95</v>
      </c>
      <c r="AK28" s="8">
        <f t="shared" ref="AK28:AK29" si="56">AJ28</f>
        <v>0.95</v>
      </c>
      <c r="AL28" s="8">
        <f t="shared" ref="AL28:AL29" si="57">AK28</f>
        <v>0.95</v>
      </c>
      <c r="AM28" s="8">
        <f t="shared" ref="AM28:AM29" si="58">AL28</f>
        <v>0.95</v>
      </c>
      <c r="AN28" s="8">
        <f t="shared" ref="AN28:AN29" si="59">AM28</f>
        <v>0.95</v>
      </c>
      <c r="AO28" s="8">
        <f t="shared" ref="AO28:AO29" si="60">AN28</f>
        <v>0.95</v>
      </c>
    </row>
    <row r="29" spans="1:42" s="84" customFormat="1" ht="13.5" thickBot="1">
      <c r="B29" s="8"/>
      <c r="C29" s="8" t="s">
        <v>15</v>
      </c>
      <c r="D29" s="8"/>
      <c r="E29" s="8"/>
      <c r="F29" s="8"/>
      <c r="G29" s="8"/>
      <c r="H29" s="37" t="s">
        <v>8</v>
      </c>
      <c r="I29" s="8"/>
      <c r="J29" s="177">
        <v>0.9</v>
      </c>
      <c r="K29" s="8"/>
      <c r="L29" s="8">
        <f>J29</f>
        <v>0.9</v>
      </c>
      <c r="M29" s="8">
        <f>L29</f>
        <v>0.9</v>
      </c>
      <c r="N29" s="8">
        <f t="shared" ref="N29:AJ29" si="61">M29</f>
        <v>0.9</v>
      </c>
      <c r="O29" s="8">
        <f t="shared" si="61"/>
        <v>0.9</v>
      </c>
      <c r="P29" s="8">
        <f t="shared" si="61"/>
        <v>0.9</v>
      </c>
      <c r="Q29" s="8">
        <f t="shared" si="61"/>
        <v>0.9</v>
      </c>
      <c r="R29" s="8">
        <f t="shared" si="61"/>
        <v>0.9</v>
      </c>
      <c r="S29" s="8">
        <f t="shared" si="61"/>
        <v>0.9</v>
      </c>
      <c r="T29" s="8">
        <f t="shared" si="61"/>
        <v>0.9</v>
      </c>
      <c r="U29" s="8">
        <f t="shared" si="61"/>
        <v>0.9</v>
      </c>
      <c r="V29" s="8">
        <f t="shared" si="61"/>
        <v>0.9</v>
      </c>
      <c r="W29" s="8">
        <f t="shared" si="61"/>
        <v>0.9</v>
      </c>
      <c r="X29" s="8">
        <f t="shared" si="61"/>
        <v>0.9</v>
      </c>
      <c r="Y29" s="8">
        <f t="shared" si="61"/>
        <v>0.9</v>
      </c>
      <c r="Z29" s="8">
        <f t="shared" si="61"/>
        <v>0.9</v>
      </c>
      <c r="AA29" s="8">
        <f t="shared" si="61"/>
        <v>0.9</v>
      </c>
      <c r="AB29" s="8">
        <f t="shared" si="61"/>
        <v>0.9</v>
      </c>
      <c r="AC29" s="8">
        <f t="shared" si="61"/>
        <v>0.9</v>
      </c>
      <c r="AD29" s="8">
        <f t="shared" si="61"/>
        <v>0.9</v>
      </c>
      <c r="AE29" s="8">
        <f t="shared" si="61"/>
        <v>0.9</v>
      </c>
      <c r="AF29" s="8">
        <f t="shared" si="61"/>
        <v>0.9</v>
      </c>
      <c r="AG29" s="8">
        <f t="shared" si="61"/>
        <v>0.9</v>
      </c>
      <c r="AH29" s="8">
        <f t="shared" si="61"/>
        <v>0.9</v>
      </c>
      <c r="AI29" s="8">
        <f t="shared" si="61"/>
        <v>0.9</v>
      </c>
      <c r="AJ29" s="8">
        <f t="shared" si="61"/>
        <v>0.9</v>
      </c>
      <c r="AK29" s="8">
        <f t="shared" si="56"/>
        <v>0.9</v>
      </c>
      <c r="AL29" s="8">
        <f t="shared" si="57"/>
        <v>0.9</v>
      </c>
      <c r="AM29" s="8">
        <f t="shared" si="58"/>
        <v>0.9</v>
      </c>
      <c r="AN29" s="8">
        <f t="shared" si="59"/>
        <v>0.9</v>
      </c>
      <c r="AO29" s="8">
        <f t="shared" si="60"/>
        <v>0.9</v>
      </c>
    </row>
    <row r="30" spans="1:42" s="77" customFormat="1" ht="5.0999999999999996" customHeight="1">
      <c r="A30" s="26"/>
      <c r="B30" s="6"/>
      <c r="C30" s="6"/>
      <c r="D30" s="6"/>
      <c r="E30" s="6"/>
      <c r="F30" s="6"/>
      <c r="G30" s="6"/>
      <c r="H30" s="1"/>
      <c r="I30" s="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</row>
    <row r="31" spans="1:42" s="77" customFormat="1">
      <c r="A31" s="26"/>
      <c r="B31" s="6" t="s">
        <v>190</v>
      </c>
      <c r="C31" s="6"/>
      <c r="D31" s="6"/>
      <c r="E31" s="6"/>
      <c r="F31" s="6"/>
      <c r="G31" s="6"/>
      <c r="H31" s="1" t="s">
        <v>4</v>
      </c>
      <c r="I31" s="6"/>
      <c r="J31" s="76"/>
      <c r="K31" s="76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159"/>
    </row>
    <row r="32" spans="1:42" s="77" customFormat="1" ht="5.0999999999999996" customHeight="1">
      <c r="A32" s="26"/>
      <c r="B32" s="6"/>
      <c r="C32" s="6"/>
      <c r="D32" s="6"/>
      <c r="E32" s="6"/>
      <c r="F32" s="6"/>
      <c r="G32" s="6"/>
      <c r="H32" s="1"/>
      <c r="I32" s="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</row>
    <row r="33" spans="1:42" s="77" customFormat="1" ht="13.5" thickBot="1">
      <c r="A33" s="26"/>
      <c r="B33" s="14" t="s">
        <v>1</v>
      </c>
      <c r="C33" s="14"/>
      <c r="D33" s="14"/>
      <c r="E33" s="14"/>
      <c r="F33" s="14"/>
      <c r="G33" s="14"/>
      <c r="H33" s="15" t="s">
        <v>4</v>
      </c>
      <c r="I33" s="14"/>
      <c r="J33" s="60">
        <f>SUM(L33:AO33)</f>
        <v>8293321.8344083289</v>
      </c>
      <c r="K33" s="60"/>
      <c r="L33" s="60">
        <f t="shared" ref="L33:AO33" si="62">((L$4*L$5+L$12*L$13+L$20*L$21)*L$28+(L$8*L$9+L$16*L$17+L$24*L$25)*L$29)+L31</f>
        <v>380000</v>
      </c>
      <c r="M33" s="60">
        <f t="shared" si="62"/>
        <v>395200</v>
      </c>
      <c r="N33" s="60">
        <f t="shared" si="62"/>
        <v>411008.00000000006</v>
      </c>
      <c r="O33" s="60">
        <f t="shared" si="62"/>
        <v>427448.32000000007</v>
      </c>
      <c r="P33" s="60">
        <f t="shared" si="62"/>
        <v>444546.25280000007</v>
      </c>
      <c r="Q33" s="60">
        <f t="shared" si="62"/>
        <v>462328.10291200009</v>
      </c>
      <c r="R33" s="60">
        <f t="shared" si="62"/>
        <v>480821.22702848009</v>
      </c>
      <c r="S33" s="60">
        <f t="shared" si="62"/>
        <v>500054.07610961929</v>
      </c>
      <c r="T33" s="60">
        <f t="shared" si="62"/>
        <v>520056.23915400408</v>
      </c>
      <c r="U33" s="60">
        <f t="shared" si="62"/>
        <v>540858.48872016429</v>
      </c>
      <c r="V33" s="60">
        <f t="shared" si="62"/>
        <v>562492.82826897083</v>
      </c>
      <c r="W33" s="60">
        <f t="shared" si="62"/>
        <v>584992.54139972979</v>
      </c>
      <c r="X33" s="60">
        <f t="shared" si="62"/>
        <v>608392.24305571883</v>
      </c>
      <c r="Y33" s="60">
        <f t="shared" si="62"/>
        <v>632727.93277794763</v>
      </c>
      <c r="Z33" s="60">
        <f t="shared" si="62"/>
        <v>658037.05008906568</v>
      </c>
      <c r="AA33" s="60">
        <f t="shared" si="62"/>
        <v>684358.5320926283</v>
      </c>
      <c r="AB33" s="60">
        <f t="shared" si="62"/>
        <v>0</v>
      </c>
      <c r="AC33" s="60">
        <f t="shared" si="62"/>
        <v>0</v>
      </c>
      <c r="AD33" s="60">
        <f t="shared" si="62"/>
        <v>0</v>
      </c>
      <c r="AE33" s="60">
        <f t="shared" si="62"/>
        <v>0</v>
      </c>
      <c r="AF33" s="60">
        <f t="shared" si="62"/>
        <v>0</v>
      </c>
      <c r="AG33" s="60">
        <f t="shared" si="62"/>
        <v>0</v>
      </c>
      <c r="AH33" s="60">
        <f t="shared" si="62"/>
        <v>0</v>
      </c>
      <c r="AI33" s="60">
        <f t="shared" si="62"/>
        <v>0</v>
      </c>
      <c r="AJ33" s="60">
        <f t="shared" si="62"/>
        <v>0</v>
      </c>
      <c r="AK33" s="60">
        <f t="shared" si="62"/>
        <v>0</v>
      </c>
      <c r="AL33" s="60">
        <f t="shared" si="62"/>
        <v>0</v>
      </c>
      <c r="AM33" s="60">
        <f t="shared" si="62"/>
        <v>0</v>
      </c>
      <c r="AN33" s="60">
        <f t="shared" si="62"/>
        <v>0</v>
      </c>
      <c r="AO33" s="60">
        <f t="shared" si="62"/>
        <v>0</v>
      </c>
      <c r="AP33" s="159"/>
    </row>
    <row r="34" spans="1:42" s="77" customFormat="1">
      <c r="A34" s="26"/>
      <c r="B34" s="6" t="s">
        <v>5</v>
      </c>
      <c r="C34" s="6"/>
      <c r="D34" s="6"/>
      <c r="E34" s="6"/>
      <c r="F34" s="6"/>
      <c r="G34" s="6"/>
      <c r="H34" s="1" t="s">
        <v>4</v>
      </c>
      <c r="I34" s="6"/>
      <c r="J34" s="61">
        <f>SUM(L34:AO34)</f>
        <v>1382220.305734721</v>
      </c>
      <c r="K34" s="61"/>
      <c r="L34" s="61">
        <f t="shared" ref="L34:AJ34" si="63">L33-L36</f>
        <v>63333.333333333314</v>
      </c>
      <c r="M34" s="61">
        <f t="shared" si="63"/>
        <v>65866.666666666628</v>
      </c>
      <c r="N34" s="61">
        <f t="shared" si="63"/>
        <v>68501.333333333314</v>
      </c>
      <c r="O34" s="61">
        <f t="shared" si="63"/>
        <v>71241.386666666658</v>
      </c>
      <c r="P34" s="61">
        <f t="shared" si="63"/>
        <v>74091.042133333336</v>
      </c>
      <c r="Q34" s="61">
        <f t="shared" si="63"/>
        <v>77054.683818666672</v>
      </c>
      <c r="R34" s="61">
        <f t="shared" si="63"/>
        <v>80136.871171413339</v>
      </c>
      <c r="S34" s="61">
        <f t="shared" si="63"/>
        <v>83342.346018269891</v>
      </c>
      <c r="T34" s="61">
        <f t="shared" si="63"/>
        <v>86676.039859000652</v>
      </c>
      <c r="U34" s="61">
        <f t="shared" si="63"/>
        <v>90143.081453360675</v>
      </c>
      <c r="V34" s="61">
        <f t="shared" si="63"/>
        <v>93748.804711495119</v>
      </c>
      <c r="W34" s="61">
        <f t="shared" si="63"/>
        <v>97498.756899954926</v>
      </c>
      <c r="X34" s="61">
        <f t="shared" si="63"/>
        <v>101398.70717595314</v>
      </c>
      <c r="Y34" s="61">
        <f t="shared" si="63"/>
        <v>105454.65546299121</v>
      </c>
      <c r="Z34" s="61">
        <f t="shared" si="63"/>
        <v>109672.84168151091</v>
      </c>
      <c r="AA34" s="61">
        <f t="shared" si="63"/>
        <v>114059.75534877134</v>
      </c>
      <c r="AB34" s="61">
        <f t="shared" si="63"/>
        <v>0</v>
      </c>
      <c r="AC34" s="61">
        <f t="shared" si="63"/>
        <v>0</v>
      </c>
      <c r="AD34" s="61">
        <f t="shared" si="63"/>
        <v>0</v>
      </c>
      <c r="AE34" s="61">
        <f t="shared" si="63"/>
        <v>0</v>
      </c>
      <c r="AF34" s="61">
        <f t="shared" si="63"/>
        <v>0</v>
      </c>
      <c r="AG34" s="61">
        <f t="shared" si="63"/>
        <v>0</v>
      </c>
      <c r="AH34" s="61">
        <f t="shared" si="63"/>
        <v>0</v>
      </c>
      <c r="AI34" s="61">
        <f t="shared" si="63"/>
        <v>0</v>
      </c>
      <c r="AJ34" s="61">
        <f t="shared" si="63"/>
        <v>0</v>
      </c>
      <c r="AK34" s="61">
        <f t="shared" ref="AK34:AN34" si="64">AK33-AK36</f>
        <v>0</v>
      </c>
      <c r="AL34" s="61">
        <f t="shared" si="64"/>
        <v>0</v>
      </c>
      <c r="AM34" s="61">
        <f t="shared" si="64"/>
        <v>0</v>
      </c>
      <c r="AN34" s="61">
        <f t="shared" si="64"/>
        <v>0</v>
      </c>
      <c r="AO34" s="61">
        <f t="shared" ref="AO34" si="65">AO33-AO36</f>
        <v>0</v>
      </c>
      <c r="AP34" s="159"/>
    </row>
    <row r="35" spans="1:42" s="77" customFormat="1" ht="5.0999999999999996" customHeight="1">
      <c r="A35" s="26"/>
      <c r="B35" s="6"/>
      <c r="C35" s="6"/>
      <c r="D35" s="6"/>
      <c r="E35" s="6"/>
      <c r="F35" s="6"/>
      <c r="G35" s="6"/>
      <c r="H35" s="1"/>
      <c r="I35" s="6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159"/>
    </row>
    <row r="36" spans="1:42" s="77" customFormat="1">
      <c r="A36" s="26"/>
      <c r="B36" s="6" t="s">
        <v>6</v>
      </c>
      <c r="C36" s="6"/>
      <c r="D36" s="6"/>
      <c r="E36" s="6"/>
      <c r="F36" s="6"/>
      <c r="G36" s="6"/>
      <c r="H36" s="1" t="s">
        <v>4</v>
      </c>
      <c r="I36" s="6"/>
      <c r="J36" s="61">
        <f>SUM(L36:AO36)</f>
        <v>6911101.5286736079</v>
      </c>
      <c r="K36" s="61"/>
      <c r="L36" s="61">
        <f>L33/1.2</f>
        <v>316666.66666666669</v>
      </c>
      <c r="M36" s="61">
        <f t="shared" ref="M36:AJ36" si="66">M33/1.2</f>
        <v>329333.33333333337</v>
      </c>
      <c r="N36" s="61">
        <f t="shared" si="66"/>
        <v>342506.66666666674</v>
      </c>
      <c r="O36" s="61">
        <f t="shared" si="66"/>
        <v>356206.93333333341</v>
      </c>
      <c r="P36" s="61">
        <f t="shared" si="66"/>
        <v>370455.21066666674</v>
      </c>
      <c r="Q36" s="61">
        <f t="shared" si="66"/>
        <v>385273.41909333342</v>
      </c>
      <c r="R36" s="61">
        <f t="shared" si="66"/>
        <v>400684.35585706675</v>
      </c>
      <c r="S36" s="61">
        <f t="shared" si="66"/>
        <v>416711.7300913494</v>
      </c>
      <c r="T36" s="61">
        <f t="shared" si="66"/>
        <v>433380.19929500343</v>
      </c>
      <c r="U36" s="61">
        <f t="shared" si="66"/>
        <v>450715.40726680361</v>
      </c>
      <c r="V36" s="61">
        <f t="shared" si="66"/>
        <v>468744.02355747571</v>
      </c>
      <c r="W36" s="61">
        <f t="shared" si="66"/>
        <v>487493.78449977486</v>
      </c>
      <c r="X36" s="61">
        <f t="shared" si="66"/>
        <v>506993.5358797657</v>
      </c>
      <c r="Y36" s="61">
        <f t="shared" si="66"/>
        <v>527273.27731495642</v>
      </c>
      <c r="Z36" s="61">
        <f t="shared" si="66"/>
        <v>548364.20840755478</v>
      </c>
      <c r="AA36" s="61">
        <f t="shared" si="66"/>
        <v>570298.77674385696</v>
      </c>
      <c r="AB36" s="61">
        <f t="shared" si="66"/>
        <v>0</v>
      </c>
      <c r="AC36" s="61">
        <f t="shared" si="66"/>
        <v>0</v>
      </c>
      <c r="AD36" s="61">
        <f t="shared" si="66"/>
        <v>0</v>
      </c>
      <c r="AE36" s="61">
        <f t="shared" si="66"/>
        <v>0</v>
      </c>
      <c r="AF36" s="61">
        <f t="shared" si="66"/>
        <v>0</v>
      </c>
      <c r="AG36" s="61">
        <f t="shared" si="66"/>
        <v>0</v>
      </c>
      <c r="AH36" s="61">
        <f t="shared" si="66"/>
        <v>0</v>
      </c>
      <c r="AI36" s="61">
        <f t="shared" si="66"/>
        <v>0</v>
      </c>
      <c r="AJ36" s="61">
        <f t="shared" si="66"/>
        <v>0</v>
      </c>
      <c r="AK36" s="61">
        <f t="shared" ref="AK36:AN36" si="67">AK33/1.2</f>
        <v>0</v>
      </c>
      <c r="AL36" s="61">
        <f t="shared" si="67"/>
        <v>0</v>
      </c>
      <c r="AM36" s="61">
        <f t="shared" si="67"/>
        <v>0</v>
      </c>
      <c r="AN36" s="61">
        <f t="shared" si="67"/>
        <v>0</v>
      </c>
      <c r="AO36" s="61">
        <f t="shared" ref="AO36" si="68">AO33/1.2</f>
        <v>0</v>
      </c>
      <c r="AP36" s="159"/>
    </row>
    <row r="37" spans="1:42" s="77" customFormat="1">
      <c r="A37" s="26"/>
      <c r="B37" s="6" t="s">
        <v>70</v>
      </c>
      <c r="C37" s="6"/>
      <c r="D37" s="6"/>
      <c r="E37" s="6"/>
      <c r="F37" s="6"/>
      <c r="G37" s="6"/>
      <c r="H37" s="1" t="s">
        <v>4</v>
      </c>
      <c r="I37" s="6"/>
      <c r="J37" s="61">
        <f>SUM(L37:AO37)</f>
        <v>0</v>
      </c>
      <c r="K37" s="61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159"/>
    </row>
    <row r="38" spans="1:42" s="77" customFormat="1">
      <c r="A38" s="26"/>
      <c r="B38" s="6" t="s">
        <v>125</v>
      </c>
      <c r="C38" s="6"/>
      <c r="D38" s="6"/>
      <c r="E38" s="6"/>
      <c r="F38" s="6"/>
      <c r="G38" s="6"/>
      <c r="H38" s="1" t="s">
        <v>4</v>
      </c>
      <c r="I38" s="6"/>
      <c r="J38" s="61">
        <f>SUM(L38:AO38)</f>
        <v>0</v>
      </c>
      <c r="K38" s="61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59"/>
    </row>
    <row r="39" spans="1:42" s="77" customFormat="1" ht="13.5" thickBot="1">
      <c r="A39" s="26"/>
      <c r="B39" s="21" t="s">
        <v>27</v>
      </c>
      <c r="C39" s="21"/>
      <c r="D39" s="21"/>
      <c r="E39" s="21"/>
      <c r="F39" s="21"/>
      <c r="G39" s="21"/>
      <c r="H39" s="22" t="s">
        <v>4</v>
      </c>
      <c r="I39" s="21"/>
      <c r="J39" s="75">
        <f>SUM(L39:AO39)</f>
        <v>6911101.5286736079</v>
      </c>
      <c r="K39" s="75"/>
      <c r="L39" s="75">
        <f>SUM(L36:L38)</f>
        <v>316666.66666666669</v>
      </c>
      <c r="M39" s="75">
        <f t="shared" ref="M39:AJ39" si="69">SUM(M36:M38)</f>
        <v>329333.33333333337</v>
      </c>
      <c r="N39" s="75">
        <f t="shared" si="69"/>
        <v>342506.66666666674</v>
      </c>
      <c r="O39" s="75">
        <f t="shared" si="69"/>
        <v>356206.93333333341</v>
      </c>
      <c r="P39" s="75">
        <f t="shared" si="69"/>
        <v>370455.21066666674</v>
      </c>
      <c r="Q39" s="75">
        <f t="shared" si="69"/>
        <v>385273.41909333342</v>
      </c>
      <c r="R39" s="75">
        <f t="shared" si="69"/>
        <v>400684.35585706675</v>
      </c>
      <c r="S39" s="75">
        <f t="shared" si="69"/>
        <v>416711.7300913494</v>
      </c>
      <c r="T39" s="75">
        <f t="shared" si="69"/>
        <v>433380.19929500343</v>
      </c>
      <c r="U39" s="75">
        <f t="shared" si="69"/>
        <v>450715.40726680361</v>
      </c>
      <c r="V39" s="75">
        <f t="shared" si="69"/>
        <v>468744.02355747571</v>
      </c>
      <c r="W39" s="75">
        <f t="shared" si="69"/>
        <v>487493.78449977486</v>
      </c>
      <c r="X39" s="75">
        <f t="shared" si="69"/>
        <v>506993.5358797657</v>
      </c>
      <c r="Y39" s="75">
        <f t="shared" si="69"/>
        <v>527273.27731495642</v>
      </c>
      <c r="Z39" s="75">
        <f t="shared" si="69"/>
        <v>548364.20840755478</v>
      </c>
      <c r="AA39" s="75">
        <f t="shared" si="69"/>
        <v>570298.77674385696</v>
      </c>
      <c r="AB39" s="75">
        <f t="shared" si="69"/>
        <v>0</v>
      </c>
      <c r="AC39" s="75">
        <f t="shared" si="69"/>
        <v>0</v>
      </c>
      <c r="AD39" s="75">
        <f t="shared" si="69"/>
        <v>0</v>
      </c>
      <c r="AE39" s="75">
        <f t="shared" si="69"/>
        <v>0</v>
      </c>
      <c r="AF39" s="75">
        <f t="shared" si="69"/>
        <v>0</v>
      </c>
      <c r="AG39" s="75">
        <f t="shared" si="69"/>
        <v>0</v>
      </c>
      <c r="AH39" s="75">
        <f t="shared" si="69"/>
        <v>0</v>
      </c>
      <c r="AI39" s="75">
        <f t="shared" si="69"/>
        <v>0</v>
      </c>
      <c r="AJ39" s="75">
        <f t="shared" si="69"/>
        <v>0</v>
      </c>
      <c r="AK39" s="75">
        <f t="shared" ref="AK39:AN39" si="70">SUM(AK36:AK38)</f>
        <v>0</v>
      </c>
      <c r="AL39" s="75">
        <f t="shared" si="70"/>
        <v>0</v>
      </c>
      <c r="AM39" s="75">
        <f t="shared" si="70"/>
        <v>0</v>
      </c>
      <c r="AN39" s="75">
        <f t="shared" si="70"/>
        <v>0</v>
      </c>
      <c r="AO39" s="75">
        <f t="shared" ref="AO39" si="71">SUM(AO36:AO38)</f>
        <v>0</v>
      </c>
      <c r="AP39" s="159"/>
    </row>
    <row r="40" spans="1:42" s="77" customFormat="1" ht="5.0999999999999996" customHeight="1" thickTop="1">
      <c r="A40" s="26"/>
      <c r="B40" s="17"/>
      <c r="C40" s="17"/>
      <c r="D40" s="17"/>
      <c r="E40" s="17"/>
      <c r="F40" s="17"/>
      <c r="G40" s="17"/>
      <c r="H40" s="18"/>
      <c r="I40" s="17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L40" s="74"/>
      <c r="AM40" s="74"/>
      <c r="AN40" s="74"/>
    </row>
    <row r="41" spans="1:42" s="77" customFormat="1" hidden="1" outlineLevel="1">
      <c r="A41" s="26"/>
      <c r="B41" s="6" t="s">
        <v>16</v>
      </c>
      <c r="C41" s="6"/>
      <c r="D41" s="6"/>
      <c r="E41" s="6"/>
      <c r="F41" s="6"/>
      <c r="G41" s="6"/>
      <c r="H41" s="1" t="str">
        <f>H4</f>
        <v>тыс. куб. м.</v>
      </c>
      <c r="I41" s="6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</row>
    <row r="42" spans="1:42" s="77" customFormat="1" hidden="1" outlineLevel="1">
      <c r="A42" s="26"/>
      <c r="B42" s="6" t="s">
        <v>17</v>
      </c>
      <c r="C42" s="6"/>
      <c r="D42" s="6"/>
      <c r="E42" s="6"/>
      <c r="F42" s="6"/>
      <c r="G42" s="6"/>
      <c r="H42" s="1" t="str">
        <f>H4</f>
        <v>тыс. куб. м.</v>
      </c>
      <c r="I42" s="6"/>
      <c r="J42" s="61"/>
      <c r="K42" s="61"/>
      <c r="L42" s="61">
        <f>L4+L8</f>
        <v>0</v>
      </c>
      <c r="M42" s="61">
        <f t="shared" ref="M42:AJ42" si="72">M4+M8</f>
        <v>0</v>
      </c>
      <c r="N42" s="61">
        <f t="shared" si="72"/>
        <v>0</v>
      </c>
      <c r="O42" s="61">
        <f t="shared" si="72"/>
        <v>0</v>
      </c>
      <c r="P42" s="61">
        <f t="shared" si="72"/>
        <v>0</v>
      </c>
      <c r="Q42" s="61">
        <f t="shared" si="72"/>
        <v>0</v>
      </c>
      <c r="R42" s="61">
        <f t="shared" si="72"/>
        <v>0</v>
      </c>
      <c r="S42" s="61">
        <f t="shared" si="72"/>
        <v>0</v>
      </c>
      <c r="T42" s="61">
        <f t="shared" si="72"/>
        <v>0</v>
      </c>
      <c r="U42" s="61">
        <f t="shared" si="72"/>
        <v>0</v>
      </c>
      <c r="V42" s="61">
        <f t="shared" si="72"/>
        <v>0</v>
      </c>
      <c r="W42" s="61">
        <f t="shared" si="72"/>
        <v>0</v>
      </c>
      <c r="X42" s="61">
        <f t="shared" si="72"/>
        <v>0</v>
      </c>
      <c r="Y42" s="61">
        <f t="shared" si="72"/>
        <v>0</v>
      </c>
      <c r="Z42" s="61">
        <f t="shared" si="72"/>
        <v>0</v>
      </c>
      <c r="AA42" s="61">
        <f t="shared" si="72"/>
        <v>0</v>
      </c>
      <c r="AB42" s="61">
        <f t="shared" si="72"/>
        <v>0</v>
      </c>
      <c r="AC42" s="61">
        <f t="shared" si="72"/>
        <v>0</v>
      </c>
      <c r="AD42" s="61">
        <f t="shared" si="72"/>
        <v>0</v>
      </c>
      <c r="AE42" s="61">
        <f t="shared" si="72"/>
        <v>0</v>
      </c>
      <c r="AF42" s="61">
        <f t="shared" si="72"/>
        <v>0</v>
      </c>
      <c r="AG42" s="61">
        <f t="shared" si="72"/>
        <v>0</v>
      </c>
      <c r="AH42" s="61">
        <f t="shared" si="72"/>
        <v>0</v>
      </c>
      <c r="AI42" s="61">
        <f t="shared" si="72"/>
        <v>0</v>
      </c>
      <c r="AJ42" s="61">
        <f t="shared" si="72"/>
        <v>0</v>
      </c>
      <c r="AK42" s="61">
        <f t="shared" ref="AK42:AN42" si="73">AK4+AK8</f>
        <v>0</v>
      </c>
      <c r="AL42" s="61">
        <f t="shared" si="73"/>
        <v>0</v>
      </c>
      <c r="AM42" s="61">
        <f t="shared" si="73"/>
        <v>0</v>
      </c>
      <c r="AN42" s="61">
        <f t="shared" si="73"/>
        <v>0</v>
      </c>
    </row>
    <row r="43" spans="1:42" s="77" customFormat="1" hidden="1" outlineLevel="1">
      <c r="A43" s="26"/>
      <c r="B43" s="6" t="s">
        <v>18</v>
      </c>
      <c r="C43" s="6"/>
      <c r="D43" s="6"/>
      <c r="E43" s="6"/>
      <c r="F43" s="6"/>
      <c r="G43" s="6"/>
      <c r="H43" s="1" t="str">
        <f>H12</f>
        <v>тыс. куб. м.</v>
      </c>
      <c r="I43" s="6"/>
      <c r="J43" s="61"/>
      <c r="K43" s="61"/>
      <c r="L43" s="61">
        <f>L12+L16</f>
        <v>0</v>
      </c>
      <c r="M43" s="61">
        <f t="shared" ref="M43:AJ43" si="74">M12+M16</f>
        <v>0</v>
      </c>
      <c r="N43" s="61">
        <f t="shared" si="74"/>
        <v>0</v>
      </c>
      <c r="O43" s="61">
        <f t="shared" si="74"/>
        <v>0</v>
      </c>
      <c r="P43" s="61">
        <f t="shared" si="74"/>
        <v>0</v>
      </c>
      <c r="Q43" s="61">
        <f t="shared" si="74"/>
        <v>0</v>
      </c>
      <c r="R43" s="61">
        <f t="shared" si="74"/>
        <v>0</v>
      </c>
      <c r="S43" s="61">
        <f t="shared" si="74"/>
        <v>0</v>
      </c>
      <c r="T43" s="61">
        <f t="shared" si="74"/>
        <v>0</v>
      </c>
      <c r="U43" s="61">
        <f t="shared" si="74"/>
        <v>0</v>
      </c>
      <c r="V43" s="61">
        <f t="shared" si="74"/>
        <v>0</v>
      </c>
      <c r="W43" s="61">
        <f t="shared" si="74"/>
        <v>0</v>
      </c>
      <c r="X43" s="61">
        <f t="shared" si="74"/>
        <v>0</v>
      </c>
      <c r="Y43" s="61">
        <f t="shared" si="74"/>
        <v>0</v>
      </c>
      <c r="Z43" s="61">
        <f t="shared" si="74"/>
        <v>0</v>
      </c>
      <c r="AA43" s="61">
        <f t="shared" si="74"/>
        <v>0</v>
      </c>
      <c r="AB43" s="61">
        <f t="shared" si="74"/>
        <v>0</v>
      </c>
      <c r="AC43" s="61">
        <f t="shared" si="74"/>
        <v>0</v>
      </c>
      <c r="AD43" s="61">
        <f t="shared" si="74"/>
        <v>0</v>
      </c>
      <c r="AE43" s="61">
        <f t="shared" si="74"/>
        <v>0</v>
      </c>
      <c r="AF43" s="61">
        <f t="shared" si="74"/>
        <v>0</v>
      </c>
      <c r="AG43" s="61">
        <f t="shared" si="74"/>
        <v>0</v>
      </c>
      <c r="AH43" s="61">
        <f t="shared" si="74"/>
        <v>0</v>
      </c>
      <c r="AI43" s="61">
        <f t="shared" si="74"/>
        <v>0</v>
      </c>
      <c r="AJ43" s="61">
        <f t="shared" si="74"/>
        <v>0</v>
      </c>
      <c r="AK43" s="61">
        <f t="shared" ref="AK43:AN43" si="75">AK12+AK16</f>
        <v>0</v>
      </c>
      <c r="AL43" s="61">
        <f t="shared" si="75"/>
        <v>0</v>
      </c>
      <c r="AM43" s="61">
        <f t="shared" si="75"/>
        <v>0</v>
      </c>
      <c r="AN43" s="61">
        <f t="shared" si="75"/>
        <v>0</v>
      </c>
    </row>
    <row r="44" spans="1:42" s="77" customFormat="1" hidden="1" outlineLevel="1">
      <c r="A44" s="26"/>
      <c r="B44" s="6" t="s">
        <v>19</v>
      </c>
      <c r="C44" s="6"/>
      <c r="D44" s="6"/>
      <c r="E44" s="6"/>
      <c r="F44" s="6"/>
      <c r="G44" s="6"/>
      <c r="H44" s="1" t="str">
        <f>H24</f>
        <v>тыс. Гкал</v>
      </c>
      <c r="I44" s="6"/>
      <c r="J44" s="61"/>
      <c r="K44" s="61"/>
      <c r="L44" s="61">
        <f>L20+L24</f>
        <v>200</v>
      </c>
      <c r="M44" s="61">
        <f t="shared" ref="M44:AJ44" si="76">M20+M24</f>
        <v>200</v>
      </c>
      <c r="N44" s="61">
        <f t="shared" si="76"/>
        <v>200</v>
      </c>
      <c r="O44" s="61">
        <f t="shared" si="76"/>
        <v>200</v>
      </c>
      <c r="P44" s="61">
        <f t="shared" si="76"/>
        <v>200</v>
      </c>
      <c r="Q44" s="61">
        <f t="shared" si="76"/>
        <v>200</v>
      </c>
      <c r="R44" s="61">
        <f t="shared" si="76"/>
        <v>200</v>
      </c>
      <c r="S44" s="61">
        <f t="shared" si="76"/>
        <v>200</v>
      </c>
      <c r="T44" s="61">
        <f t="shared" si="76"/>
        <v>200</v>
      </c>
      <c r="U44" s="61">
        <f t="shared" si="76"/>
        <v>200</v>
      </c>
      <c r="V44" s="61">
        <f t="shared" si="76"/>
        <v>200</v>
      </c>
      <c r="W44" s="61">
        <f t="shared" si="76"/>
        <v>200</v>
      </c>
      <c r="X44" s="61">
        <f t="shared" si="76"/>
        <v>200</v>
      </c>
      <c r="Y44" s="61">
        <f t="shared" si="76"/>
        <v>200</v>
      </c>
      <c r="Z44" s="61">
        <f t="shared" si="76"/>
        <v>200</v>
      </c>
      <c r="AA44" s="61">
        <f t="shared" si="76"/>
        <v>200</v>
      </c>
      <c r="AB44" s="61">
        <f t="shared" si="76"/>
        <v>0</v>
      </c>
      <c r="AC44" s="61">
        <f t="shared" si="76"/>
        <v>0</v>
      </c>
      <c r="AD44" s="61">
        <f t="shared" si="76"/>
        <v>0</v>
      </c>
      <c r="AE44" s="61">
        <f t="shared" si="76"/>
        <v>0</v>
      </c>
      <c r="AF44" s="61">
        <f t="shared" si="76"/>
        <v>0</v>
      </c>
      <c r="AG44" s="61">
        <f t="shared" si="76"/>
        <v>0</v>
      </c>
      <c r="AH44" s="61">
        <f t="shared" si="76"/>
        <v>0</v>
      </c>
      <c r="AI44" s="61">
        <f t="shared" si="76"/>
        <v>0</v>
      </c>
      <c r="AJ44" s="61">
        <f t="shared" si="76"/>
        <v>0</v>
      </c>
      <c r="AK44" s="61">
        <f t="shared" ref="AK44:AN44" si="77">AK20+AK24</f>
        <v>0</v>
      </c>
      <c r="AL44" s="61">
        <f t="shared" si="77"/>
        <v>0</v>
      </c>
      <c r="AM44" s="61">
        <f t="shared" si="77"/>
        <v>0</v>
      </c>
      <c r="AN44" s="61">
        <f t="shared" si="77"/>
        <v>0</v>
      </c>
    </row>
    <row r="45" spans="1:42" collapsed="1"/>
  </sheetData>
  <customSheetViews>
    <customSheetView guid="{7D5A2C9F-3ABE-4F29-B54C-C3E3AA98CA69}" scale="60" showPageBreaks="1" printArea="1" hiddenRows="1" hiddenColumns="1" view="pageBreakPreview">
      <pane xSplit="11" ySplit="1" topLeftCell="L2" activePane="bottomRight" state="frozen"/>
      <selection pane="bottomRight" activeCell="AA20" sqref="AA20"/>
      <colBreaks count="1" manualBreakCount="1">
        <brk id="26" max="43" man="1"/>
      </colBreaks>
      <pageMargins left="7.874015748031496E-2" right="7.874015748031496E-2" top="0.98425196850393704" bottom="0.74803149606299213" header="0.31496062992125984" footer="0.31496062992125984"/>
      <pageSetup paperSize="9" scale="53" fitToWidth="2" orientation="landscape" horizontalDpi="0" verticalDpi="0" r:id="rId1"/>
      <headerFooter>
        <oddHeader>&amp;R&amp;G</oddHeader>
      </headerFooter>
    </customSheetView>
  </customSheetViews>
  <pageMargins left="7.874015748031496E-2" right="7.874015748031496E-2" top="0.98425196850393704" bottom="0.74803149606299213" header="0.31496062992125984" footer="0.31496062992125984"/>
  <pageSetup paperSize="9" scale="53" fitToWidth="2" orientation="landscape" horizontalDpi="0" verticalDpi="0" r:id="rId2"/>
  <headerFooter>
    <oddHeader>&amp;R&amp;G</oddHeader>
  </headerFooter>
  <colBreaks count="1" manualBreakCount="1">
    <brk id="26" max="43" man="1"/>
  </col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K24"/>
  <sheetViews>
    <sheetView zoomScale="85" zoomScaleNormal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1" sqref="L21"/>
    </sheetView>
  </sheetViews>
  <sheetFormatPr defaultColWidth="0" defaultRowHeight="12.75"/>
  <cols>
    <col min="1" max="3" width="2.7109375" style="17" customWidth="1"/>
    <col min="4" max="6" width="9.140625" style="17" customWidth="1"/>
    <col min="7" max="7" width="2.7109375" style="17" customWidth="1"/>
    <col min="8" max="8" width="10.7109375" style="18" customWidth="1"/>
    <col min="9" max="9" width="1.7109375" style="17" customWidth="1"/>
    <col min="10" max="10" width="11.5703125" style="17" bestFit="1" customWidth="1"/>
    <col min="11" max="11" width="1.7109375" style="17" customWidth="1"/>
    <col min="12" max="36" width="10" style="17" bestFit="1" customWidth="1"/>
    <col min="37" max="37" width="1.7109375" style="17" customWidth="1"/>
    <col min="38" max="16384" width="9.140625" style="17" hidden="1"/>
  </cols>
  <sheetData>
    <row r="1" spans="1:37" s="10" customFormat="1">
      <c r="A1" s="23"/>
      <c r="H1" s="10" t="s">
        <v>3</v>
      </c>
      <c r="J1" s="10" t="s">
        <v>2</v>
      </c>
      <c r="L1" s="10">
        <v>2022</v>
      </c>
      <c r="M1" s="10">
        <v>2023</v>
      </c>
      <c r="N1" s="10">
        <v>2024</v>
      </c>
      <c r="O1" s="10">
        <v>2025</v>
      </c>
      <c r="P1" s="10">
        <v>2026</v>
      </c>
      <c r="Q1" s="10">
        <v>2027</v>
      </c>
      <c r="R1" s="10">
        <v>2028</v>
      </c>
      <c r="S1" s="10">
        <v>2029</v>
      </c>
      <c r="T1" s="10">
        <v>2030</v>
      </c>
      <c r="U1" s="10">
        <v>2031</v>
      </c>
      <c r="V1" s="10">
        <v>2032</v>
      </c>
      <c r="W1" s="10">
        <v>2033</v>
      </c>
      <c r="X1" s="10">
        <v>2034</v>
      </c>
      <c r="Y1" s="10">
        <v>2035</v>
      </c>
      <c r="Z1" s="10">
        <v>2036</v>
      </c>
      <c r="AA1" s="10">
        <v>2037</v>
      </c>
      <c r="AB1" s="10">
        <v>2038</v>
      </c>
      <c r="AC1" s="10">
        <v>2039</v>
      </c>
      <c r="AD1" s="10">
        <v>2040</v>
      </c>
      <c r="AE1" s="10">
        <v>2041</v>
      </c>
      <c r="AF1" s="10">
        <v>2042</v>
      </c>
      <c r="AG1" s="10">
        <v>2043</v>
      </c>
      <c r="AH1" s="10">
        <v>2044</v>
      </c>
      <c r="AI1" s="10">
        <v>2045</v>
      </c>
      <c r="AJ1" s="10">
        <v>2046</v>
      </c>
      <c r="AK1" s="9"/>
    </row>
    <row r="2" spans="1:37" s="6" customFormat="1">
      <c r="A2" s="17"/>
      <c r="B2" s="6" t="s">
        <v>9</v>
      </c>
      <c r="H2" s="1" t="s">
        <v>26</v>
      </c>
      <c r="J2" s="76"/>
      <c r="K2" s="76"/>
      <c r="L2" s="76" t="e">
        <f>SUM(L3:L5)</f>
        <v>#REF!</v>
      </c>
      <c r="M2" s="76" t="e">
        <f t="shared" ref="M2:AJ2" si="0">SUM(M3:M5)</f>
        <v>#REF!</v>
      </c>
      <c r="N2" s="76" t="e">
        <f t="shared" si="0"/>
        <v>#REF!</v>
      </c>
      <c r="O2" s="76" t="e">
        <f t="shared" si="0"/>
        <v>#REF!</v>
      </c>
      <c r="P2" s="76" t="e">
        <f t="shared" si="0"/>
        <v>#REF!</v>
      </c>
      <c r="Q2" s="76" t="e">
        <f t="shared" si="0"/>
        <v>#REF!</v>
      </c>
      <c r="R2" s="76" t="e">
        <f t="shared" si="0"/>
        <v>#REF!</v>
      </c>
      <c r="S2" s="76" t="e">
        <f t="shared" si="0"/>
        <v>#REF!</v>
      </c>
      <c r="T2" s="76" t="e">
        <f t="shared" si="0"/>
        <v>#REF!</v>
      </c>
      <c r="U2" s="76" t="e">
        <f t="shared" si="0"/>
        <v>#REF!</v>
      </c>
      <c r="V2" s="76" t="e">
        <f t="shared" si="0"/>
        <v>#REF!</v>
      </c>
      <c r="W2" s="76" t="e">
        <f t="shared" si="0"/>
        <v>#REF!</v>
      </c>
      <c r="X2" s="76" t="e">
        <f t="shared" si="0"/>
        <v>#REF!</v>
      </c>
      <c r="Y2" s="76" t="e">
        <f t="shared" si="0"/>
        <v>#REF!</v>
      </c>
      <c r="Z2" s="76" t="e">
        <f t="shared" si="0"/>
        <v>#REF!</v>
      </c>
      <c r="AA2" s="76" t="e">
        <f t="shared" si="0"/>
        <v>#REF!</v>
      </c>
      <c r="AB2" s="76" t="e">
        <f t="shared" si="0"/>
        <v>#REF!</v>
      </c>
      <c r="AC2" s="76" t="e">
        <f t="shared" si="0"/>
        <v>#REF!</v>
      </c>
      <c r="AD2" s="76" t="e">
        <f t="shared" si="0"/>
        <v>#REF!</v>
      </c>
      <c r="AE2" s="76" t="e">
        <f t="shared" si="0"/>
        <v>#REF!</v>
      </c>
      <c r="AF2" s="76" t="e">
        <f t="shared" si="0"/>
        <v>#REF!</v>
      </c>
      <c r="AG2" s="76" t="e">
        <f t="shared" si="0"/>
        <v>#REF!</v>
      </c>
      <c r="AH2" s="76" t="e">
        <f t="shared" si="0"/>
        <v>#REF!</v>
      </c>
      <c r="AI2" s="76" t="e">
        <f t="shared" si="0"/>
        <v>#REF!</v>
      </c>
      <c r="AJ2" s="76" t="e">
        <f t="shared" si="0"/>
        <v>#REF!</v>
      </c>
      <c r="AK2" s="7"/>
    </row>
    <row r="3" spans="1:37" s="13" customFormat="1">
      <c r="A3" s="24"/>
      <c r="B3" s="12"/>
      <c r="C3" s="12" t="s">
        <v>20</v>
      </c>
      <c r="D3" s="12"/>
      <c r="E3" s="12"/>
      <c r="F3" s="12"/>
      <c r="G3" s="12"/>
      <c r="H3" s="1" t="str">
        <f>H2</f>
        <v>тыс. куб. м.</v>
      </c>
      <c r="I3" s="12"/>
      <c r="J3" s="62"/>
      <c r="K3" s="62"/>
      <c r="L3" s="63" t="e">
        <f>Выручка!#REF!</f>
        <v>#REF!</v>
      </c>
      <c r="M3" s="63" t="e">
        <f>Выручка!#REF!</f>
        <v>#REF!</v>
      </c>
      <c r="N3" s="63" t="e">
        <f>Выручка!#REF!</f>
        <v>#REF!</v>
      </c>
      <c r="O3" s="63" t="e">
        <f>Выручка!#REF!</f>
        <v>#REF!</v>
      </c>
      <c r="P3" s="63" t="e">
        <f>Выручка!#REF!</f>
        <v>#REF!</v>
      </c>
      <c r="Q3" s="63" t="e">
        <f>Выручка!#REF!</f>
        <v>#REF!</v>
      </c>
      <c r="R3" s="63" t="e">
        <f>Выручка!#REF!</f>
        <v>#REF!</v>
      </c>
      <c r="S3" s="63" t="e">
        <f>Выручка!#REF!</f>
        <v>#REF!</v>
      </c>
      <c r="T3" s="63" t="e">
        <f>Выручка!#REF!</f>
        <v>#REF!</v>
      </c>
      <c r="U3" s="63" t="e">
        <f>Выручка!#REF!</f>
        <v>#REF!</v>
      </c>
      <c r="V3" s="63" t="e">
        <f>Выручка!#REF!</f>
        <v>#REF!</v>
      </c>
      <c r="W3" s="63" t="e">
        <f>Выручка!#REF!</f>
        <v>#REF!</v>
      </c>
      <c r="X3" s="63" t="e">
        <f>Выручка!#REF!</f>
        <v>#REF!</v>
      </c>
      <c r="Y3" s="63" t="e">
        <f>Выручка!#REF!</f>
        <v>#REF!</v>
      </c>
      <c r="Z3" s="63" t="e">
        <f>Выручка!#REF!</f>
        <v>#REF!</v>
      </c>
      <c r="AA3" s="63" t="e">
        <f>Выручка!#REF!</f>
        <v>#REF!</v>
      </c>
      <c r="AB3" s="63" t="e">
        <f>Выручка!#REF!</f>
        <v>#REF!</v>
      </c>
      <c r="AC3" s="63" t="e">
        <f>Выручка!#REF!</f>
        <v>#REF!</v>
      </c>
      <c r="AD3" s="63" t="e">
        <f>Выручка!#REF!</f>
        <v>#REF!</v>
      </c>
      <c r="AE3" s="63" t="e">
        <f>Выручка!#REF!</f>
        <v>#REF!</v>
      </c>
      <c r="AF3" s="63" t="e">
        <f>Выручка!#REF!</f>
        <v>#REF!</v>
      </c>
      <c r="AG3" s="63" t="e">
        <f>Выручка!#REF!</f>
        <v>#REF!</v>
      </c>
      <c r="AH3" s="63" t="e">
        <f>Выручка!#REF!</f>
        <v>#REF!</v>
      </c>
      <c r="AI3" s="63" t="e">
        <f>Выручка!#REF!</f>
        <v>#REF!</v>
      </c>
      <c r="AJ3" s="63" t="e">
        <f>Выручка!#REF!</f>
        <v>#REF!</v>
      </c>
      <c r="AK3" s="11"/>
    </row>
    <row r="4" spans="1:37" s="13" customFormat="1">
      <c r="A4" s="24"/>
      <c r="B4" s="12"/>
      <c r="C4" s="12" t="s">
        <v>23</v>
      </c>
      <c r="D4" s="12"/>
      <c r="E4" s="12"/>
      <c r="F4" s="12"/>
      <c r="G4" s="12"/>
      <c r="H4" s="1" t="str">
        <f>H2</f>
        <v>тыс. куб. м.</v>
      </c>
      <c r="I4" s="12"/>
      <c r="J4" s="62"/>
      <c r="K4" s="6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11"/>
    </row>
    <row r="5" spans="1:37" s="13" customFormat="1">
      <c r="A5" s="24"/>
      <c r="B5" s="12"/>
      <c r="C5" s="12" t="s">
        <v>22</v>
      </c>
      <c r="D5" s="12"/>
      <c r="E5" s="12"/>
      <c r="F5" s="12"/>
      <c r="G5" s="12"/>
      <c r="H5" s="1" t="str">
        <f>H2</f>
        <v>тыс. куб. м.</v>
      </c>
      <c r="I5" s="12"/>
      <c r="J5" s="62"/>
      <c r="K5" s="6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11"/>
    </row>
    <row r="6" spans="1:37" s="81" customFormat="1">
      <c r="A6" s="85"/>
      <c r="D6" s="82" t="s">
        <v>24</v>
      </c>
      <c r="H6" s="83" t="s">
        <v>8</v>
      </c>
      <c r="L6" s="81" t="e">
        <f t="shared" ref="L6:AJ6" si="1">L5/L3</f>
        <v>#REF!</v>
      </c>
      <c r="M6" s="81" t="e">
        <f t="shared" si="1"/>
        <v>#REF!</v>
      </c>
      <c r="N6" s="81" t="e">
        <f t="shared" si="1"/>
        <v>#REF!</v>
      </c>
      <c r="O6" s="81" t="e">
        <f t="shared" si="1"/>
        <v>#REF!</v>
      </c>
      <c r="P6" s="81" t="e">
        <f t="shared" si="1"/>
        <v>#REF!</v>
      </c>
      <c r="Q6" s="81" t="e">
        <f t="shared" si="1"/>
        <v>#REF!</v>
      </c>
      <c r="R6" s="81" t="e">
        <f t="shared" si="1"/>
        <v>#REF!</v>
      </c>
      <c r="S6" s="81" t="e">
        <f t="shared" si="1"/>
        <v>#REF!</v>
      </c>
      <c r="T6" s="81" t="e">
        <f t="shared" si="1"/>
        <v>#REF!</v>
      </c>
      <c r="U6" s="81" t="e">
        <f t="shared" si="1"/>
        <v>#REF!</v>
      </c>
      <c r="V6" s="81" t="e">
        <f t="shared" si="1"/>
        <v>#REF!</v>
      </c>
      <c r="W6" s="81" t="e">
        <f t="shared" si="1"/>
        <v>#REF!</v>
      </c>
      <c r="X6" s="81" t="e">
        <f t="shared" si="1"/>
        <v>#REF!</v>
      </c>
      <c r="Y6" s="81" t="e">
        <f t="shared" si="1"/>
        <v>#REF!</v>
      </c>
      <c r="Z6" s="81" t="e">
        <f t="shared" si="1"/>
        <v>#REF!</v>
      </c>
      <c r="AA6" s="81" t="e">
        <f t="shared" si="1"/>
        <v>#REF!</v>
      </c>
      <c r="AB6" s="81" t="e">
        <f t="shared" si="1"/>
        <v>#REF!</v>
      </c>
      <c r="AC6" s="81" t="e">
        <f t="shared" si="1"/>
        <v>#REF!</v>
      </c>
      <c r="AD6" s="81" t="e">
        <f t="shared" si="1"/>
        <v>#REF!</v>
      </c>
      <c r="AE6" s="81" t="e">
        <f t="shared" si="1"/>
        <v>#REF!</v>
      </c>
      <c r="AF6" s="81" t="e">
        <f t="shared" si="1"/>
        <v>#REF!</v>
      </c>
      <c r="AG6" s="81" t="e">
        <f t="shared" si="1"/>
        <v>#REF!</v>
      </c>
      <c r="AH6" s="81" t="e">
        <f t="shared" si="1"/>
        <v>#REF!</v>
      </c>
      <c r="AI6" s="81" t="e">
        <f t="shared" si="1"/>
        <v>#REF!</v>
      </c>
      <c r="AJ6" s="81" t="e">
        <f t="shared" si="1"/>
        <v>#REF!</v>
      </c>
      <c r="AK6" s="86"/>
    </row>
    <row r="7" spans="1:37" s="6" customFormat="1">
      <c r="A7" s="17"/>
      <c r="B7" s="6" t="s">
        <v>11</v>
      </c>
      <c r="H7" s="1" t="s">
        <v>26</v>
      </c>
      <c r="J7" s="76"/>
      <c r="K7" s="76"/>
      <c r="L7" s="76">
        <f t="shared" ref="L7:AJ7" si="2">SUM(L8:L10)</f>
        <v>0</v>
      </c>
      <c r="M7" s="76">
        <f t="shared" si="2"/>
        <v>0</v>
      </c>
      <c r="N7" s="76">
        <f t="shared" si="2"/>
        <v>0</v>
      </c>
      <c r="O7" s="76">
        <f t="shared" si="2"/>
        <v>0</v>
      </c>
      <c r="P7" s="76">
        <f t="shared" si="2"/>
        <v>0</v>
      </c>
      <c r="Q7" s="76">
        <f t="shared" si="2"/>
        <v>0</v>
      </c>
      <c r="R7" s="76">
        <f t="shared" si="2"/>
        <v>0</v>
      </c>
      <c r="S7" s="76">
        <f t="shared" si="2"/>
        <v>0</v>
      </c>
      <c r="T7" s="76">
        <f t="shared" si="2"/>
        <v>0</v>
      </c>
      <c r="U7" s="76">
        <f t="shared" si="2"/>
        <v>0</v>
      </c>
      <c r="V7" s="76">
        <f t="shared" si="2"/>
        <v>0</v>
      </c>
      <c r="W7" s="76">
        <f t="shared" si="2"/>
        <v>0</v>
      </c>
      <c r="X7" s="76">
        <f t="shared" si="2"/>
        <v>0</v>
      </c>
      <c r="Y7" s="76">
        <f t="shared" si="2"/>
        <v>0</v>
      </c>
      <c r="Z7" s="76">
        <f t="shared" si="2"/>
        <v>0</v>
      </c>
      <c r="AA7" s="76">
        <f t="shared" si="2"/>
        <v>0</v>
      </c>
      <c r="AB7" s="76">
        <f t="shared" si="2"/>
        <v>0</v>
      </c>
      <c r="AC7" s="76">
        <f t="shared" si="2"/>
        <v>0</v>
      </c>
      <c r="AD7" s="76">
        <f t="shared" si="2"/>
        <v>0</v>
      </c>
      <c r="AE7" s="76">
        <f t="shared" si="2"/>
        <v>0</v>
      </c>
      <c r="AF7" s="76">
        <f t="shared" si="2"/>
        <v>0</v>
      </c>
      <c r="AG7" s="76">
        <f t="shared" si="2"/>
        <v>0</v>
      </c>
      <c r="AH7" s="76">
        <f t="shared" si="2"/>
        <v>0</v>
      </c>
      <c r="AI7" s="76">
        <f t="shared" si="2"/>
        <v>0</v>
      </c>
      <c r="AJ7" s="76">
        <f t="shared" si="2"/>
        <v>0</v>
      </c>
      <c r="AK7" s="7"/>
    </row>
    <row r="8" spans="1:37" s="13" customFormat="1">
      <c r="A8" s="24"/>
      <c r="B8" s="12"/>
      <c r="C8" s="12" t="s">
        <v>20</v>
      </c>
      <c r="D8" s="12"/>
      <c r="E8" s="12"/>
      <c r="F8" s="12"/>
      <c r="G8" s="12"/>
      <c r="H8" s="1" t="str">
        <f>H7</f>
        <v>тыс. куб. м.</v>
      </c>
      <c r="I8" s="12"/>
      <c r="J8" s="62"/>
      <c r="K8" s="62"/>
      <c r="L8" s="63">
        <f>Выручка!L42</f>
        <v>0</v>
      </c>
      <c r="M8" s="63">
        <f>Выручка!M42</f>
        <v>0</v>
      </c>
      <c r="N8" s="63">
        <f>Выручка!N42</f>
        <v>0</v>
      </c>
      <c r="O8" s="63">
        <f>Выручка!O42</f>
        <v>0</v>
      </c>
      <c r="P8" s="63">
        <f>Выручка!P42</f>
        <v>0</v>
      </c>
      <c r="Q8" s="63">
        <f>Выручка!Q42</f>
        <v>0</v>
      </c>
      <c r="R8" s="63">
        <f>Выручка!R42</f>
        <v>0</v>
      </c>
      <c r="S8" s="63">
        <f>Выручка!S42</f>
        <v>0</v>
      </c>
      <c r="T8" s="63">
        <f>Выручка!T42</f>
        <v>0</v>
      </c>
      <c r="U8" s="63">
        <f>Выручка!U42</f>
        <v>0</v>
      </c>
      <c r="V8" s="63">
        <f>Выручка!V42</f>
        <v>0</v>
      </c>
      <c r="W8" s="63">
        <f>Выручка!W42</f>
        <v>0</v>
      </c>
      <c r="X8" s="63">
        <f>Выручка!X42</f>
        <v>0</v>
      </c>
      <c r="Y8" s="63">
        <f>Выручка!Y42</f>
        <v>0</v>
      </c>
      <c r="Z8" s="63">
        <f>Выручка!Z42</f>
        <v>0</v>
      </c>
      <c r="AA8" s="63">
        <f>Выручка!AA42</f>
        <v>0</v>
      </c>
      <c r="AB8" s="63">
        <f>Выручка!AB42</f>
        <v>0</v>
      </c>
      <c r="AC8" s="63">
        <f>Выручка!AC42</f>
        <v>0</v>
      </c>
      <c r="AD8" s="63">
        <f>Выручка!AD42</f>
        <v>0</v>
      </c>
      <c r="AE8" s="63">
        <f>Выручка!AE42</f>
        <v>0</v>
      </c>
      <c r="AF8" s="63">
        <f>Выручка!AF42</f>
        <v>0</v>
      </c>
      <c r="AG8" s="63">
        <f>Выручка!AG42</f>
        <v>0</v>
      </c>
      <c r="AH8" s="63">
        <f>Выручка!AH42</f>
        <v>0</v>
      </c>
      <c r="AI8" s="63">
        <f>Выручка!AI42</f>
        <v>0</v>
      </c>
      <c r="AJ8" s="63">
        <f>Выручка!AJ42</f>
        <v>0</v>
      </c>
      <c r="AK8" s="11"/>
    </row>
    <row r="9" spans="1:37" s="13" customFormat="1">
      <c r="A9" s="24"/>
      <c r="B9" s="12"/>
      <c r="C9" s="12" t="s">
        <v>23</v>
      </c>
      <c r="D9" s="12"/>
      <c r="E9" s="12"/>
      <c r="F9" s="12"/>
      <c r="G9" s="12"/>
      <c r="H9" s="1" t="str">
        <f>H7</f>
        <v>тыс. куб. м.</v>
      </c>
      <c r="I9" s="12"/>
      <c r="J9" s="62"/>
      <c r="K9" s="62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11"/>
    </row>
    <row r="10" spans="1:37" s="13" customFormat="1">
      <c r="A10" s="24"/>
      <c r="B10" s="12"/>
      <c r="C10" s="12" t="s">
        <v>22</v>
      </c>
      <c r="D10" s="12"/>
      <c r="E10" s="12"/>
      <c r="F10" s="12"/>
      <c r="G10" s="12"/>
      <c r="H10" s="1" t="str">
        <f>H7</f>
        <v>тыс. куб. м.</v>
      </c>
      <c r="I10" s="12"/>
      <c r="J10" s="62"/>
      <c r="K10" s="62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11"/>
    </row>
    <row r="11" spans="1:37" s="81" customFormat="1">
      <c r="A11" s="85"/>
      <c r="D11" s="82" t="s">
        <v>24</v>
      </c>
      <c r="H11" s="83" t="s">
        <v>8</v>
      </c>
      <c r="L11" s="81" t="e">
        <f t="shared" ref="L11:AJ11" si="3">L10/L8</f>
        <v>#DIV/0!</v>
      </c>
      <c r="M11" s="81" t="e">
        <f t="shared" si="3"/>
        <v>#DIV/0!</v>
      </c>
      <c r="N11" s="81" t="e">
        <f t="shared" si="3"/>
        <v>#DIV/0!</v>
      </c>
      <c r="O11" s="81" t="e">
        <f t="shared" si="3"/>
        <v>#DIV/0!</v>
      </c>
      <c r="P11" s="81" t="e">
        <f t="shared" si="3"/>
        <v>#DIV/0!</v>
      </c>
      <c r="Q11" s="81" t="e">
        <f t="shared" si="3"/>
        <v>#DIV/0!</v>
      </c>
      <c r="R11" s="81" t="e">
        <f t="shared" si="3"/>
        <v>#DIV/0!</v>
      </c>
      <c r="S11" s="81" t="e">
        <f t="shared" si="3"/>
        <v>#DIV/0!</v>
      </c>
      <c r="T11" s="81" t="e">
        <f t="shared" si="3"/>
        <v>#DIV/0!</v>
      </c>
      <c r="U11" s="81" t="e">
        <f t="shared" si="3"/>
        <v>#DIV/0!</v>
      </c>
      <c r="V11" s="81" t="e">
        <f t="shared" si="3"/>
        <v>#DIV/0!</v>
      </c>
      <c r="W11" s="81" t="e">
        <f t="shared" si="3"/>
        <v>#DIV/0!</v>
      </c>
      <c r="X11" s="81" t="e">
        <f t="shared" si="3"/>
        <v>#DIV/0!</v>
      </c>
      <c r="Y11" s="81" t="e">
        <f t="shared" si="3"/>
        <v>#DIV/0!</v>
      </c>
      <c r="Z11" s="81" t="e">
        <f t="shared" si="3"/>
        <v>#DIV/0!</v>
      </c>
      <c r="AA11" s="81" t="e">
        <f t="shared" si="3"/>
        <v>#DIV/0!</v>
      </c>
      <c r="AB11" s="81" t="e">
        <f t="shared" si="3"/>
        <v>#DIV/0!</v>
      </c>
      <c r="AC11" s="81" t="e">
        <f t="shared" si="3"/>
        <v>#DIV/0!</v>
      </c>
      <c r="AD11" s="81" t="e">
        <f t="shared" si="3"/>
        <v>#DIV/0!</v>
      </c>
      <c r="AE11" s="81" t="e">
        <f t="shared" si="3"/>
        <v>#DIV/0!</v>
      </c>
      <c r="AF11" s="81" t="e">
        <f t="shared" si="3"/>
        <v>#DIV/0!</v>
      </c>
      <c r="AG11" s="81" t="e">
        <f t="shared" si="3"/>
        <v>#DIV/0!</v>
      </c>
      <c r="AH11" s="81" t="e">
        <f t="shared" si="3"/>
        <v>#DIV/0!</v>
      </c>
      <c r="AI11" s="81" t="e">
        <f t="shared" si="3"/>
        <v>#DIV/0!</v>
      </c>
      <c r="AJ11" s="81" t="e">
        <f t="shared" si="3"/>
        <v>#DIV/0!</v>
      </c>
      <c r="AK11" s="86"/>
    </row>
    <row r="12" spans="1:37" s="6" customFormat="1">
      <c r="A12" s="17"/>
      <c r="B12" s="6" t="s">
        <v>12</v>
      </c>
      <c r="H12" s="1" t="s">
        <v>26</v>
      </c>
      <c r="J12" s="76"/>
      <c r="K12" s="76"/>
      <c r="L12" s="76">
        <f t="shared" ref="L12:AJ12" si="4">SUM(L13:L13)</f>
        <v>0</v>
      </c>
      <c r="M12" s="76">
        <f t="shared" si="4"/>
        <v>0</v>
      </c>
      <c r="N12" s="76">
        <f t="shared" si="4"/>
        <v>0</v>
      </c>
      <c r="O12" s="76">
        <f t="shared" si="4"/>
        <v>0</v>
      </c>
      <c r="P12" s="76">
        <f t="shared" si="4"/>
        <v>0</v>
      </c>
      <c r="Q12" s="76">
        <f t="shared" si="4"/>
        <v>0</v>
      </c>
      <c r="R12" s="76">
        <f t="shared" si="4"/>
        <v>0</v>
      </c>
      <c r="S12" s="76">
        <f t="shared" si="4"/>
        <v>0</v>
      </c>
      <c r="T12" s="76">
        <f t="shared" si="4"/>
        <v>0</v>
      </c>
      <c r="U12" s="76">
        <f t="shared" si="4"/>
        <v>0</v>
      </c>
      <c r="V12" s="76">
        <f t="shared" si="4"/>
        <v>0</v>
      </c>
      <c r="W12" s="76">
        <f t="shared" si="4"/>
        <v>0</v>
      </c>
      <c r="X12" s="76">
        <f t="shared" si="4"/>
        <v>0</v>
      </c>
      <c r="Y12" s="76">
        <f t="shared" si="4"/>
        <v>0</v>
      </c>
      <c r="Z12" s="76">
        <f t="shared" si="4"/>
        <v>0</v>
      </c>
      <c r="AA12" s="76">
        <f t="shared" si="4"/>
        <v>0</v>
      </c>
      <c r="AB12" s="76">
        <f t="shared" si="4"/>
        <v>0</v>
      </c>
      <c r="AC12" s="76">
        <f t="shared" si="4"/>
        <v>0</v>
      </c>
      <c r="AD12" s="76">
        <f t="shared" si="4"/>
        <v>0</v>
      </c>
      <c r="AE12" s="76">
        <f t="shared" si="4"/>
        <v>0</v>
      </c>
      <c r="AF12" s="76">
        <f t="shared" si="4"/>
        <v>0</v>
      </c>
      <c r="AG12" s="76">
        <f t="shared" si="4"/>
        <v>0</v>
      </c>
      <c r="AH12" s="76">
        <f t="shared" si="4"/>
        <v>0</v>
      </c>
      <c r="AI12" s="76">
        <f t="shared" si="4"/>
        <v>0</v>
      </c>
      <c r="AJ12" s="76">
        <f t="shared" si="4"/>
        <v>0</v>
      </c>
      <c r="AK12" s="7"/>
    </row>
    <row r="13" spans="1:37" s="12" customFormat="1">
      <c r="A13" s="24"/>
      <c r="C13" s="12" t="s">
        <v>20</v>
      </c>
      <c r="H13" s="1" t="str">
        <f>H12</f>
        <v>тыс. куб. м.</v>
      </c>
      <c r="J13" s="62"/>
      <c r="K13" s="62"/>
      <c r="L13" s="62">
        <f>Выручка!L43</f>
        <v>0</v>
      </c>
      <c r="M13" s="62">
        <f>Выручка!M43</f>
        <v>0</v>
      </c>
      <c r="N13" s="62">
        <f>Выручка!N43</f>
        <v>0</v>
      </c>
      <c r="O13" s="62">
        <f>Выручка!O43</f>
        <v>0</v>
      </c>
      <c r="P13" s="62">
        <f>Выручка!P43</f>
        <v>0</v>
      </c>
      <c r="Q13" s="62">
        <f>Выручка!Q43</f>
        <v>0</v>
      </c>
      <c r="R13" s="62">
        <f>Выручка!R43</f>
        <v>0</v>
      </c>
      <c r="S13" s="62">
        <f>Выручка!S43</f>
        <v>0</v>
      </c>
      <c r="T13" s="62">
        <f>Выручка!T43</f>
        <v>0</v>
      </c>
      <c r="U13" s="62">
        <f>Выручка!U43</f>
        <v>0</v>
      </c>
      <c r="V13" s="62">
        <f>Выручка!V43</f>
        <v>0</v>
      </c>
      <c r="W13" s="62">
        <f>Выручка!W43</f>
        <v>0</v>
      </c>
      <c r="X13" s="62">
        <f>Выручка!X43</f>
        <v>0</v>
      </c>
      <c r="Y13" s="62">
        <f>Выручка!Y43</f>
        <v>0</v>
      </c>
      <c r="Z13" s="62">
        <f>Выручка!Z43</f>
        <v>0</v>
      </c>
      <c r="AA13" s="62">
        <f>Выручка!AA43</f>
        <v>0</v>
      </c>
      <c r="AB13" s="62">
        <f>Выручка!AB43</f>
        <v>0</v>
      </c>
      <c r="AC13" s="62">
        <f>Выручка!AC43</f>
        <v>0</v>
      </c>
      <c r="AD13" s="62">
        <f>Выручка!AD43</f>
        <v>0</v>
      </c>
      <c r="AE13" s="62">
        <f>Выручка!AE43</f>
        <v>0</v>
      </c>
      <c r="AF13" s="62">
        <f>Выручка!AF43</f>
        <v>0</v>
      </c>
      <c r="AG13" s="62">
        <f>Выручка!AG43</f>
        <v>0</v>
      </c>
      <c r="AH13" s="62">
        <f>Выручка!AH43</f>
        <v>0</v>
      </c>
      <c r="AI13" s="62">
        <f>Выручка!AI43</f>
        <v>0</v>
      </c>
      <c r="AJ13" s="62">
        <f>Выручка!AJ43</f>
        <v>0</v>
      </c>
      <c r="AK13" s="11"/>
    </row>
    <row r="14" spans="1:37" s="6" customFormat="1">
      <c r="A14" s="17"/>
      <c r="B14" s="6" t="s">
        <v>13</v>
      </c>
      <c r="H14" s="1" t="s">
        <v>52</v>
      </c>
      <c r="J14" s="76"/>
      <c r="K14" s="76"/>
      <c r="L14" s="76">
        <f t="shared" ref="L14:AJ14" si="5">SUM(L15:L17)</f>
        <v>220</v>
      </c>
      <c r="M14" s="76">
        <f t="shared" si="5"/>
        <v>220</v>
      </c>
      <c r="N14" s="76">
        <f t="shared" si="5"/>
        <v>220</v>
      </c>
      <c r="O14" s="76">
        <f t="shared" si="5"/>
        <v>220</v>
      </c>
      <c r="P14" s="76">
        <f t="shared" si="5"/>
        <v>220</v>
      </c>
      <c r="Q14" s="76">
        <f t="shared" si="5"/>
        <v>220</v>
      </c>
      <c r="R14" s="76">
        <f t="shared" si="5"/>
        <v>220</v>
      </c>
      <c r="S14" s="76">
        <f t="shared" si="5"/>
        <v>220</v>
      </c>
      <c r="T14" s="76">
        <f t="shared" si="5"/>
        <v>220</v>
      </c>
      <c r="U14" s="76">
        <f t="shared" si="5"/>
        <v>220</v>
      </c>
      <c r="V14" s="76">
        <f t="shared" si="5"/>
        <v>220</v>
      </c>
      <c r="W14" s="76">
        <f t="shared" si="5"/>
        <v>220</v>
      </c>
      <c r="X14" s="76">
        <f t="shared" si="5"/>
        <v>220</v>
      </c>
      <c r="Y14" s="76">
        <f t="shared" si="5"/>
        <v>220</v>
      </c>
      <c r="Z14" s="76">
        <f t="shared" si="5"/>
        <v>220</v>
      </c>
      <c r="AA14" s="76">
        <f t="shared" si="5"/>
        <v>220</v>
      </c>
      <c r="AB14" s="76">
        <f t="shared" si="5"/>
        <v>20</v>
      </c>
      <c r="AC14" s="76">
        <f t="shared" si="5"/>
        <v>20</v>
      </c>
      <c r="AD14" s="76">
        <f t="shared" si="5"/>
        <v>20</v>
      </c>
      <c r="AE14" s="76">
        <f t="shared" si="5"/>
        <v>20</v>
      </c>
      <c r="AF14" s="76">
        <f t="shared" si="5"/>
        <v>20</v>
      </c>
      <c r="AG14" s="76">
        <f t="shared" si="5"/>
        <v>20</v>
      </c>
      <c r="AH14" s="76">
        <f t="shared" si="5"/>
        <v>20</v>
      </c>
      <c r="AI14" s="76">
        <f t="shared" si="5"/>
        <v>20</v>
      </c>
      <c r="AJ14" s="76">
        <f t="shared" si="5"/>
        <v>20</v>
      </c>
      <c r="AK14" s="7"/>
    </row>
    <row r="15" spans="1:37" s="13" customFormat="1">
      <c r="A15" s="24"/>
      <c r="B15" s="12"/>
      <c r="C15" s="12" t="s">
        <v>20</v>
      </c>
      <c r="D15" s="12"/>
      <c r="E15" s="12"/>
      <c r="F15" s="12"/>
      <c r="G15" s="12"/>
      <c r="H15" s="1" t="str">
        <f>H14</f>
        <v>тыс. Гкал</v>
      </c>
      <c r="I15" s="12"/>
      <c r="J15" s="62"/>
      <c r="K15" s="62"/>
      <c r="L15" s="63">
        <f>Выручка!L44</f>
        <v>200</v>
      </c>
      <c r="M15" s="63">
        <f>Выручка!M44</f>
        <v>200</v>
      </c>
      <c r="N15" s="63">
        <f>Выручка!N44</f>
        <v>200</v>
      </c>
      <c r="O15" s="63">
        <f>Выручка!O44</f>
        <v>200</v>
      </c>
      <c r="P15" s="63">
        <f>Выручка!P44</f>
        <v>200</v>
      </c>
      <c r="Q15" s="63">
        <f>Выручка!Q44</f>
        <v>200</v>
      </c>
      <c r="R15" s="63">
        <f>Выручка!R44</f>
        <v>200</v>
      </c>
      <c r="S15" s="63">
        <f>Выручка!S44</f>
        <v>200</v>
      </c>
      <c r="T15" s="63">
        <f>Выручка!T44</f>
        <v>200</v>
      </c>
      <c r="U15" s="63">
        <f>Выручка!U44</f>
        <v>200</v>
      </c>
      <c r="V15" s="63">
        <f>Выручка!V44</f>
        <v>200</v>
      </c>
      <c r="W15" s="63">
        <f>Выручка!W44</f>
        <v>200</v>
      </c>
      <c r="X15" s="63">
        <f>Выручка!X44</f>
        <v>200</v>
      </c>
      <c r="Y15" s="63">
        <f>Выручка!Y44</f>
        <v>200</v>
      </c>
      <c r="Z15" s="63">
        <f>Выручка!Z44</f>
        <v>200</v>
      </c>
      <c r="AA15" s="63">
        <f>Выручка!AA44</f>
        <v>200</v>
      </c>
      <c r="AB15" s="63">
        <f>Выручка!AB44</f>
        <v>0</v>
      </c>
      <c r="AC15" s="63">
        <f>Выручка!AC44</f>
        <v>0</v>
      </c>
      <c r="AD15" s="63">
        <f>Выручка!AD44</f>
        <v>0</v>
      </c>
      <c r="AE15" s="63">
        <f>Выручка!AE44</f>
        <v>0</v>
      </c>
      <c r="AF15" s="63">
        <f>Выручка!AF44</f>
        <v>0</v>
      </c>
      <c r="AG15" s="63">
        <f>Выручка!AG44</f>
        <v>0</v>
      </c>
      <c r="AH15" s="63">
        <f>Выручка!AH44</f>
        <v>0</v>
      </c>
      <c r="AI15" s="63">
        <f>Выручка!AI44</f>
        <v>0</v>
      </c>
      <c r="AJ15" s="63">
        <f>Выручка!AJ44</f>
        <v>0</v>
      </c>
      <c r="AK15" s="11"/>
    </row>
    <row r="16" spans="1:37" s="13" customFormat="1">
      <c r="A16" s="24"/>
      <c r="B16" s="12"/>
      <c r="C16" s="12" t="s">
        <v>23</v>
      </c>
      <c r="D16" s="12"/>
      <c r="E16" s="12"/>
      <c r="F16" s="12"/>
      <c r="G16" s="12"/>
      <c r="H16" s="1" t="str">
        <f>H14</f>
        <v>тыс. Гкал</v>
      </c>
      <c r="I16" s="12"/>
      <c r="J16" s="62"/>
      <c r="K16" s="62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11"/>
    </row>
    <row r="17" spans="1:37" s="13" customFormat="1">
      <c r="A17" s="24"/>
      <c r="B17" s="12"/>
      <c r="C17" s="12" t="s">
        <v>22</v>
      </c>
      <c r="D17" s="12"/>
      <c r="E17" s="12"/>
      <c r="F17" s="12"/>
      <c r="G17" s="12"/>
      <c r="H17" s="1" t="str">
        <f>H14</f>
        <v>тыс. Гкал</v>
      </c>
      <c r="I17" s="12"/>
      <c r="J17" s="62"/>
      <c r="K17" s="62"/>
      <c r="L17" s="70">
        <v>20</v>
      </c>
      <c r="M17" s="70">
        <v>20</v>
      </c>
      <c r="N17" s="70">
        <v>20</v>
      </c>
      <c r="O17" s="70">
        <v>20</v>
      </c>
      <c r="P17" s="70">
        <v>20</v>
      </c>
      <c r="Q17" s="70">
        <v>20</v>
      </c>
      <c r="R17" s="70">
        <v>20</v>
      </c>
      <c r="S17" s="70">
        <v>20</v>
      </c>
      <c r="T17" s="70">
        <v>20</v>
      </c>
      <c r="U17" s="70">
        <v>20</v>
      </c>
      <c r="V17" s="70">
        <v>20</v>
      </c>
      <c r="W17" s="70">
        <v>20</v>
      </c>
      <c r="X17" s="70">
        <v>20</v>
      </c>
      <c r="Y17" s="70">
        <v>20</v>
      </c>
      <c r="Z17" s="70">
        <v>20</v>
      </c>
      <c r="AA17" s="70">
        <v>20</v>
      </c>
      <c r="AB17" s="70">
        <v>20</v>
      </c>
      <c r="AC17" s="70">
        <v>20</v>
      </c>
      <c r="AD17" s="70">
        <v>20</v>
      </c>
      <c r="AE17" s="70">
        <v>20</v>
      </c>
      <c r="AF17" s="70">
        <v>20</v>
      </c>
      <c r="AG17" s="70">
        <v>20</v>
      </c>
      <c r="AH17" s="70">
        <v>20</v>
      </c>
      <c r="AI17" s="70">
        <v>20</v>
      </c>
      <c r="AJ17" s="70">
        <v>20</v>
      </c>
      <c r="AK17" s="11"/>
    </row>
    <row r="18" spans="1:37" s="81" customFormat="1">
      <c r="A18" s="85"/>
      <c r="D18" s="82" t="s">
        <v>24</v>
      </c>
      <c r="H18" s="83" t="s">
        <v>8</v>
      </c>
      <c r="L18" s="81">
        <f t="shared" ref="L18:AJ18" si="6">L17/L15</f>
        <v>0.1</v>
      </c>
      <c r="M18" s="81">
        <f t="shared" si="6"/>
        <v>0.1</v>
      </c>
      <c r="N18" s="81">
        <f t="shared" si="6"/>
        <v>0.1</v>
      </c>
      <c r="O18" s="81">
        <f t="shared" si="6"/>
        <v>0.1</v>
      </c>
      <c r="P18" s="81">
        <f t="shared" si="6"/>
        <v>0.1</v>
      </c>
      <c r="Q18" s="81">
        <f t="shared" si="6"/>
        <v>0.1</v>
      </c>
      <c r="R18" s="81">
        <f t="shared" si="6"/>
        <v>0.1</v>
      </c>
      <c r="S18" s="81">
        <f t="shared" si="6"/>
        <v>0.1</v>
      </c>
      <c r="T18" s="81">
        <f t="shared" si="6"/>
        <v>0.1</v>
      </c>
      <c r="U18" s="81">
        <f t="shared" si="6"/>
        <v>0.1</v>
      </c>
      <c r="V18" s="81">
        <f t="shared" si="6"/>
        <v>0.1</v>
      </c>
      <c r="W18" s="81">
        <f t="shared" si="6"/>
        <v>0.1</v>
      </c>
      <c r="X18" s="81">
        <f t="shared" si="6"/>
        <v>0.1</v>
      </c>
      <c r="Y18" s="81">
        <f t="shared" si="6"/>
        <v>0.1</v>
      </c>
      <c r="Z18" s="81">
        <f t="shared" si="6"/>
        <v>0.1</v>
      </c>
      <c r="AA18" s="81">
        <f t="shared" si="6"/>
        <v>0.1</v>
      </c>
      <c r="AB18" s="81" t="e">
        <f t="shared" si="6"/>
        <v>#DIV/0!</v>
      </c>
      <c r="AC18" s="81" t="e">
        <f t="shared" si="6"/>
        <v>#DIV/0!</v>
      </c>
      <c r="AD18" s="81" t="e">
        <f t="shared" si="6"/>
        <v>#DIV/0!</v>
      </c>
      <c r="AE18" s="81" t="e">
        <f t="shared" si="6"/>
        <v>#DIV/0!</v>
      </c>
      <c r="AF18" s="81" t="e">
        <f t="shared" si="6"/>
        <v>#DIV/0!</v>
      </c>
      <c r="AG18" s="81" t="e">
        <f t="shared" si="6"/>
        <v>#DIV/0!</v>
      </c>
      <c r="AH18" s="81" t="e">
        <f t="shared" si="6"/>
        <v>#DIV/0!</v>
      </c>
      <c r="AI18" s="81" t="e">
        <f t="shared" si="6"/>
        <v>#DIV/0!</v>
      </c>
      <c r="AJ18" s="81" t="e">
        <f t="shared" si="6"/>
        <v>#DIV/0!</v>
      </c>
      <c r="AK18" s="86"/>
    </row>
    <row r="19" spans="1:37"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</row>
    <row r="20" spans="1:37" s="6" customFormat="1">
      <c r="A20" s="17"/>
      <c r="B20" s="6" t="s">
        <v>25</v>
      </c>
      <c r="H20" s="1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"/>
    </row>
    <row r="21" spans="1:37" s="6" customFormat="1">
      <c r="A21" s="17"/>
      <c r="C21" s="6" t="s">
        <v>9</v>
      </c>
      <c r="H21" s="1"/>
      <c r="J21" s="76"/>
      <c r="K21" s="76"/>
      <c r="L21" s="76" t="e">
        <f>L2-Выручка!L41-L4-L5</f>
        <v>#REF!</v>
      </c>
      <c r="M21" s="76" t="e">
        <f>M2-Выручка!M41-M4-M5</f>
        <v>#REF!</v>
      </c>
      <c r="N21" s="76" t="e">
        <f>N2-Выручка!N41-N4-N5</f>
        <v>#REF!</v>
      </c>
      <c r="O21" s="76" t="e">
        <f>O2-Выручка!O41-O4-O5</f>
        <v>#REF!</v>
      </c>
      <c r="P21" s="76" t="e">
        <f>P2-Выручка!P41-P4-P5</f>
        <v>#REF!</v>
      </c>
      <c r="Q21" s="76" t="e">
        <f>Q2-Выручка!Q41-Q4-Q5</f>
        <v>#REF!</v>
      </c>
      <c r="R21" s="76" t="e">
        <f>R2-Выручка!R41-R4-R5</f>
        <v>#REF!</v>
      </c>
      <c r="S21" s="76" t="e">
        <f>S2-Выручка!S41-S4-S5</f>
        <v>#REF!</v>
      </c>
      <c r="T21" s="76" t="e">
        <f>T2-Выручка!T41-T4-T5</f>
        <v>#REF!</v>
      </c>
      <c r="U21" s="76" t="e">
        <f>U2-Выручка!U41-U4-U5</f>
        <v>#REF!</v>
      </c>
      <c r="V21" s="76" t="e">
        <f>V2-Выручка!V41-V4-V5</f>
        <v>#REF!</v>
      </c>
      <c r="W21" s="76" t="e">
        <f>W2-Выручка!W41-W4-W5</f>
        <v>#REF!</v>
      </c>
      <c r="X21" s="76" t="e">
        <f>X2-Выручка!X41-X4-X5</f>
        <v>#REF!</v>
      </c>
      <c r="Y21" s="76" t="e">
        <f>Y2-Выручка!Y41-Y4-Y5</f>
        <v>#REF!</v>
      </c>
      <c r="Z21" s="76" t="e">
        <f>Z2-Выручка!Z41-Z4-Z5</f>
        <v>#REF!</v>
      </c>
      <c r="AA21" s="76" t="e">
        <f>AA2-Выручка!AA41-AA4-AA5</f>
        <v>#REF!</v>
      </c>
      <c r="AB21" s="76" t="e">
        <f>AB2-Выручка!AB41-AB4-AB5</f>
        <v>#REF!</v>
      </c>
      <c r="AC21" s="76" t="e">
        <f>AC2-Выручка!AC41-AC4-AC5</f>
        <v>#REF!</v>
      </c>
      <c r="AD21" s="76" t="e">
        <f>AD2-Выручка!AD41-AD4-AD5</f>
        <v>#REF!</v>
      </c>
      <c r="AE21" s="76" t="e">
        <f>AE2-Выручка!AE41-AE4-AE5</f>
        <v>#REF!</v>
      </c>
      <c r="AF21" s="76" t="e">
        <f>AF2-Выручка!AF41-AF4-AF5</f>
        <v>#REF!</v>
      </c>
      <c r="AG21" s="76" t="e">
        <f>AG2-Выручка!AG41-AG4-AG5</f>
        <v>#REF!</v>
      </c>
      <c r="AH21" s="76" t="e">
        <f>AH2-Выручка!AH41-AH4-AH5</f>
        <v>#REF!</v>
      </c>
      <c r="AI21" s="76" t="e">
        <f>AI2-Выручка!AI41-AI4-AI5</f>
        <v>#REF!</v>
      </c>
      <c r="AJ21" s="76" t="e">
        <f>AJ2-Выручка!AJ41-AJ4-AJ5</f>
        <v>#REF!</v>
      </c>
      <c r="AK21" s="7"/>
    </row>
    <row r="22" spans="1:37" s="6" customFormat="1">
      <c r="A22" s="17"/>
      <c r="C22" s="6" t="s">
        <v>11</v>
      </c>
      <c r="H22" s="1"/>
      <c r="J22" s="76"/>
      <c r="K22" s="76"/>
      <c r="L22" s="76">
        <f>L7-Выручка!L42-L9-L10</f>
        <v>0</v>
      </c>
      <c r="M22" s="76">
        <f>M7-Выручка!M42-M9-M10</f>
        <v>0</v>
      </c>
      <c r="N22" s="76">
        <f>N7-Выручка!N42-N9-N10</f>
        <v>0</v>
      </c>
      <c r="O22" s="76">
        <f>O7-Выручка!O42-O9-O10</f>
        <v>0</v>
      </c>
      <c r="P22" s="76">
        <f>P7-Выручка!P42-P9-P10</f>
        <v>0</v>
      </c>
      <c r="Q22" s="76">
        <f>Q7-Выручка!Q42-Q9-Q10</f>
        <v>0</v>
      </c>
      <c r="R22" s="76">
        <f>R7-Выручка!R42-R9-R10</f>
        <v>0</v>
      </c>
      <c r="S22" s="76">
        <f>S7-Выручка!S42-S9-S10</f>
        <v>0</v>
      </c>
      <c r="T22" s="76">
        <f>T7-Выручка!T42-T9-T10</f>
        <v>0</v>
      </c>
      <c r="U22" s="76">
        <f>U7-Выручка!U42-U9-U10</f>
        <v>0</v>
      </c>
      <c r="V22" s="76">
        <f>V7-Выручка!V42-V9-V10</f>
        <v>0</v>
      </c>
      <c r="W22" s="76">
        <f>W7-Выручка!W42-W9-W10</f>
        <v>0</v>
      </c>
      <c r="X22" s="76">
        <f>X7-Выручка!X42-X9-X10</f>
        <v>0</v>
      </c>
      <c r="Y22" s="76">
        <f>Y7-Выручка!Y42-Y9-Y10</f>
        <v>0</v>
      </c>
      <c r="Z22" s="76">
        <f>Z7-Выручка!Z42-Z9-Z10</f>
        <v>0</v>
      </c>
      <c r="AA22" s="76">
        <f>AA7-Выручка!AA42-AA9-AA10</f>
        <v>0</v>
      </c>
      <c r="AB22" s="76">
        <f>AB7-Выручка!AB42-AB9-AB10</f>
        <v>0</v>
      </c>
      <c r="AC22" s="76">
        <f>AC7-Выручка!AC42-AC9-AC10</f>
        <v>0</v>
      </c>
      <c r="AD22" s="76">
        <f>AD7-Выручка!AD42-AD9-AD10</f>
        <v>0</v>
      </c>
      <c r="AE22" s="76">
        <f>AE7-Выручка!AE42-AE9-AE10</f>
        <v>0</v>
      </c>
      <c r="AF22" s="76">
        <f>AF7-Выручка!AF42-AF9-AF10</f>
        <v>0</v>
      </c>
      <c r="AG22" s="76">
        <f>AG7-Выручка!AG42-AG9-AG10</f>
        <v>0</v>
      </c>
      <c r="AH22" s="76">
        <f>AH7-Выручка!AH42-AH9-AH10</f>
        <v>0</v>
      </c>
      <c r="AI22" s="76">
        <f>AI7-Выручка!AI42-AI9-AI10</f>
        <v>0</v>
      </c>
      <c r="AJ22" s="76">
        <f>AJ7-Выручка!AJ42-AJ9-AJ10</f>
        <v>0</v>
      </c>
      <c r="AK22" s="7"/>
    </row>
    <row r="23" spans="1:37" s="6" customFormat="1">
      <c r="A23" s="17"/>
      <c r="C23" s="6" t="s">
        <v>12</v>
      </c>
      <c r="H23" s="1"/>
      <c r="J23" s="76"/>
      <c r="K23" s="76"/>
      <c r="L23" s="76">
        <f>L12-Выручка!L43</f>
        <v>0</v>
      </c>
      <c r="M23" s="76">
        <f>M12-Выручка!M43</f>
        <v>0</v>
      </c>
      <c r="N23" s="76">
        <f>N12-Выручка!N43</f>
        <v>0</v>
      </c>
      <c r="O23" s="76">
        <f>O12-Выручка!O43</f>
        <v>0</v>
      </c>
      <c r="P23" s="76">
        <f>P12-Выручка!P43</f>
        <v>0</v>
      </c>
      <c r="Q23" s="76">
        <f>Q12-Выручка!Q43</f>
        <v>0</v>
      </c>
      <c r="R23" s="76">
        <f>R12-Выручка!R43</f>
        <v>0</v>
      </c>
      <c r="S23" s="76">
        <f>S12-Выручка!S43</f>
        <v>0</v>
      </c>
      <c r="T23" s="76">
        <f>T12-Выручка!T43</f>
        <v>0</v>
      </c>
      <c r="U23" s="76">
        <f>U12-Выручка!U43</f>
        <v>0</v>
      </c>
      <c r="V23" s="76">
        <f>V12-Выручка!V43</f>
        <v>0</v>
      </c>
      <c r="W23" s="76">
        <f>W12-Выручка!W43</f>
        <v>0</v>
      </c>
      <c r="X23" s="76">
        <f>X12-Выручка!X43</f>
        <v>0</v>
      </c>
      <c r="Y23" s="76">
        <f>Y12-Выручка!Y43</f>
        <v>0</v>
      </c>
      <c r="Z23" s="76">
        <f>Z12-Выручка!Z43</f>
        <v>0</v>
      </c>
      <c r="AA23" s="76">
        <f>AA12-Выручка!AA43</f>
        <v>0</v>
      </c>
      <c r="AB23" s="76">
        <f>AB12-Выручка!AB43</f>
        <v>0</v>
      </c>
      <c r="AC23" s="76">
        <f>AC12-Выручка!AC43</f>
        <v>0</v>
      </c>
      <c r="AD23" s="76">
        <f>AD12-Выручка!AD43</f>
        <v>0</v>
      </c>
      <c r="AE23" s="76">
        <f>AE12-Выручка!AE43</f>
        <v>0</v>
      </c>
      <c r="AF23" s="76">
        <f>AF12-Выручка!AF43</f>
        <v>0</v>
      </c>
      <c r="AG23" s="76">
        <f>AG12-Выручка!AG43</f>
        <v>0</v>
      </c>
      <c r="AH23" s="76">
        <f>AH12-Выручка!AH43</f>
        <v>0</v>
      </c>
      <c r="AI23" s="76">
        <f>AI12-Выручка!AI43</f>
        <v>0</v>
      </c>
      <c r="AJ23" s="76">
        <f>AJ12-Выручка!AJ43</f>
        <v>0</v>
      </c>
      <c r="AK23" s="7"/>
    </row>
    <row r="24" spans="1:37" s="6" customFormat="1">
      <c r="A24" s="17"/>
      <c r="C24" s="6" t="s">
        <v>13</v>
      </c>
      <c r="H24" s="1"/>
      <c r="J24" s="76"/>
      <c r="K24" s="76"/>
      <c r="L24" s="76">
        <f>L14-Выручка!L44-L16-L17</f>
        <v>0</v>
      </c>
      <c r="M24" s="76">
        <f>M14-Выручка!M44-M16-M17</f>
        <v>0</v>
      </c>
      <c r="N24" s="76">
        <f>N14-Выручка!N44-N16-N17</f>
        <v>0</v>
      </c>
      <c r="O24" s="76">
        <f>O14-Выручка!O44-O16-O17</f>
        <v>0</v>
      </c>
      <c r="P24" s="76">
        <f>P14-Выручка!P44-P16-P17</f>
        <v>0</v>
      </c>
      <c r="Q24" s="76">
        <f>Q14-Выручка!Q44-Q16-Q17</f>
        <v>0</v>
      </c>
      <c r="R24" s="76">
        <f>R14-Выручка!R44-R16-R17</f>
        <v>0</v>
      </c>
      <c r="S24" s="76">
        <f>S14-Выручка!S44-S16-S17</f>
        <v>0</v>
      </c>
      <c r="T24" s="76">
        <f>T14-Выручка!T44-T16-T17</f>
        <v>0</v>
      </c>
      <c r="U24" s="76">
        <f>U14-Выручка!U44-U16-U17</f>
        <v>0</v>
      </c>
      <c r="V24" s="76">
        <f>V14-Выручка!V44-V16-V17</f>
        <v>0</v>
      </c>
      <c r="W24" s="76">
        <f>W14-Выручка!W44-W16-W17</f>
        <v>0</v>
      </c>
      <c r="X24" s="76">
        <f>X14-Выручка!X44-X16-X17</f>
        <v>0</v>
      </c>
      <c r="Y24" s="76">
        <f>Y14-Выручка!Y44-Y16-Y17</f>
        <v>0</v>
      </c>
      <c r="Z24" s="76">
        <f>Z14-Выручка!Z44-Z16-Z17</f>
        <v>0</v>
      </c>
      <c r="AA24" s="76">
        <f>AA14-Выручка!AA44-AA16-AA17</f>
        <v>0</v>
      </c>
      <c r="AB24" s="76">
        <f>AB14-Выручка!AB44-AB16-AB17</f>
        <v>0</v>
      </c>
      <c r="AC24" s="76">
        <f>AC14-Выручка!AC44-AC16-AC17</f>
        <v>0</v>
      </c>
      <c r="AD24" s="76">
        <f>AD14-Выручка!AD44-AD16-AD17</f>
        <v>0</v>
      </c>
      <c r="AE24" s="76">
        <f>AE14-Выручка!AE44-AE16-AE17</f>
        <v>0</v>
      </c>
      <c r="AF24" s="76">
        <f>AF14-Выручка!AF44-AF16-AF17</f>
        <v>0</v>
      </c>
      <c r="AG24" s="76">
        <f>AG14-Выручка!AG44-AG16-AG17</f>
        <v>0</v>
      </c>
      <c r="AH24" s="76">
        <f>AH14-Выручка!AH44-AH16-AH17</f>
        <v>0</v>
      </c>
      <c r="AI24" s="76">
        <f>AI14-Выручка!AI44-AI16-AI17</f>
        <v>0</v>
      </c>
      <c r="AJ24" s="76">
        <f>AJ14-Выручка!AJ44-AJ16-AJ17</f>
        <v>0</v>
      </c>
      <c r="AK24" s="7"/>
    </row>
  </sheetData>
  <customSheetViews>
    <customSheetView guid="{7D5A2C9F-3ABE-4F29-B54C-C3E3AA98CA69}" scale="85" showPageBreaks="1" fitToPage="1" printArea="1" hiddenColumns="1" state="veryHidden">
      <pane xSplit="11" ySplit="1" topLeftCell="L2" activePane="bottomRight" state="frozen"/>
      <selection pane="bottomRight" activeCell="L21" sqref="L21"/>
      <pageMargins left="7.874015748031496E-2" right="7.874015748031496E-2" top="0.74803149606299213" bottom="0.74803149606299213" header="0.31496062992125984" footer="0.31496062992125984"/>
      <printOptions horizontalCentered="1"/>
      <pageSetup paperSize="9" scale="46" orientation="landscape" horizontalDpi="0" verticalDpi="0" r:id="rId1"/>
    </customSheetView>
  </customSheetViews>
  <printOptions horizontalCentered="1"/>
  <pageMargins left="7.874015748031496E-2" right="7.874015748031496E-2" top="0.74803149606299213" bottom="0.74803149606299213" header="0.31496062992125984" footer="0.31496062992125984"/>
  <pageSetup paperSize="9" scale="46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3" tint="-0.249977111117893"/>
  </sheetPr>
  <dimension ref="A1:AP21"/>
  <sheetViews>
    <sheetView view="pageBreakPreview" zoomScale="85" zoomScaleNormal="100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ColWidth="0" defaultRowHeight="12.75"/>
  <cols>
    <col min="1" max="1" width="2.7109375" style="26" customWidth="1"/>
    <col min="2" max="3" width="2.7109375" style="17" customWidth="1"/>
    <col min="4" max="6" width="9.140625" style="17" customWidth="1"/>
    <col min="7" max="7" width="2.7109375" style="17" customWidth="1"/>
    <col min="8" max="8" width="10.7109375" style="18" customWidth="1"/>
    <col min="9" max="9" width="1.7109375" style="17" customWidth="1"/>
    <col min="10" max="10" width="15.140625" style="19" bestFit="1" customWidth="1"/>
    <col min="11" max="11" width="1.7109375" style="17" customWidth="1"/>
    <col min="12" max="12" width="13" style="17" bestFit="1" customWidth="1"/>
    <col min="13" max="35" width="11.5703125" style="17" bestFit="1" customWidth="1"/>
    <col min="36" max="36" width="10" style="17" bestFit="1" customWidth="1"/>
    <col min="37" max="37" width="10" style="26" bestFit="1" customWidth="1"/>
    <col min="38" max="41" width="10" style="17" bestFit="1" customWidth="1"/>
    <col min="42" max="42" width="2.7109375" style="26" customWidth="1"/>
    <col min="43" max="16384" width="9.140625" style="26" hidden="1"/>
  </cols>
  <sheetData>
    <row r="1" spans="1:41" s="102" customFormat="1">
      <c r="A1" s="48"/>
      <c r="B1" s="10"/>
      <c r="C1" s="10"/>
      <c r="D1" s="10"/>
      <c r="E1" s="10"/>
      <c r="F1" s="10"/>
      <c r="G1" s="10"/>
      <c r="H1" s="10" t="s">
        <v>3</v>
      </c>
      <c r="I1" s="10"/>
      <c r="J1" s="16" t="s">
        <v>2</v>
      </c>
      <c r="K1" s="10"/>
      <c r="L1" s="10">
        <v>2022</v>
      </c>
      <c r="M1" s="10">
        <v>2023</v>
      </c>
      <c r="N1" s="10">
        <v>2024</v>
      </c>
      <c r="O1" s="10">
        <v>2025</v>
      </c>
      <c r="P1" s="10">
        <v>2026</v>
      </c>
      <c r="Q1" s="10">
        <v>2027</v>
      </c>
      <c r="R1" s="10">
        <v>2028</v>
      </c>
      <c r="S1" s="10">
        <v>2029</v>
      </c>
      <c r="T1" s="10">
        <v>2030</v>
      </c>
      <c r="U1" s="10">
        <v>2031</v>
      </c>
      <c r="V1" s="10">
        <v>2032</v>
      </c>
      <c r="W1" s="10">
        <v>2033</v>
      </c>
      <c r="X1" s="10">
        <v>2034</v>
      </c>
      <c r="Y1" s="10">
        <v>2035</v>
      </c>
      <c r="Z1" s="10">
        <v>2036</v>
      </c>
      <c r="AA1" s="10">
        <v>2037</v>
      </c>
      <c r="AB1" s="10">
        <v>2038</v>
      </c>
      <c r="AC1" s="10">
        <v>2039</v>
      </c>
      <c r="AD1" s="10">
        <v>2040</v>
      </c>
      <c r="AE1" s="10">
        <v>2041</v>
      </c>
      <c r="AF1" s="10">
        <v>2042</v>
      </c>
      <c r="AG1" s="10">
        <v>2043</v>
      </c>
      <c r="AH1" s="10">
        <v>2044</v>
      </c>
      <c r="AI1" s="10">
        <v>2045</v>
      </c>
      <c r="AJ1" s="10">
        <v>2046</v>
      </c>
      <c r="AK1" s="10">
        <v>2047</v>
      </c>
      <c r="AL1" s="10">
        <v>2048</v>
      </c>
      <c r="AM1" s="10">
        <v>2049</v>
      </c>
      <c r="AN1" s="10">
        <v>2050</v>
      </c>
      <c r="AO1" s="10">
        <v>2051</v>
      </c>
    </row>
    <row r="2" spans="1:41" s="103" customFormat="1">
      <c r="A2" s="34"/>
      <c r="B2" s="32" t="s">
        <v>42</v>
      </c>
      <c r="C2" s="32"/>
      <c r="D2" s="32"/>
      <c r="E2" s="32"/>
      <c r="F2" s="32"/>
      <c r="G2" s="32"/>
      <c r="H2" s="55" t="s">
        <v>4</v>
      </c>
      <c r="I2" s="32"/>
      <c r="J2" s="61">
        <f t="shared" ref="J2:J8" si="0">SUM(L2:AO2)</f>
        <v>1859891.3886692156</v>
      </c>
      <c r="K2" s="32"/>
      <c r="L2" s="103">
        <v>100000</v>
      </c>
      <c r="M2" s="103">
        <f>L2*1.03</f>
        <v>103000</v>
      </c>
      <c r="N2" s="103">
        <f t="shared" ref="N2:Z2" si="1">M2*1.03</f>
        <v>106090</v>
      </c>
      <c r="O2" s="103">
        <f t="shared" si="1"/>
        <v>109272.7</v>
      </c>
      <c r="P2" s="103">
        <f t="shared" si="1"/>
        <v>112550.88099999999</v>
      </c>
      <c r="Q2" s="103">
        <f t="shared" si="1"/>
        <v>115927.40742999999</v>
      </c>
      <c r="R2" s="103">
        <f t="shared" si="1"/>
        <v>119405.2296529</v>
      </c>
      <c r="S2" s="103">
        <f t="shared" si="1"/>
        <v>122987.386542487</v>
      </c>
      <c r="T2" s="103">
        <f t="shared" si="1"/>
        <v>126677.00813876161</v>
      </c>
      <c r="U2" s="103">
        <f t="shared" si="1"/>
        <v>130477.31838292447</v>
      </c>
      <c r="V2" s="103">
        <f t="shared" si="1"/>
        <v>134391.6379344122</v>
      </c>
      <c r="W2" s="103">
        <f t="shared" si="1"/>
        <v>138423.38707244457</v>
      </c>
      <c r="X2" s="103">
        <f t="shared" si="1"/>
        <v>142576.08868461792</v>
      </c>
      <c r="Y2" s="103">
        <f t="shared" si="1"/>
        <v>146853.37134515645</v>
      </c>
      <c r="Z2" s="103">
        <f t="shared" si="1"/>
        <v>151258.97248551116</v>
      </c>
    </row>
    <row r="3" spans="1:41" s="104" customFormat="1">
      <c r="A3" s="49"/>
      <c r="B3" s="6" t="s">
        <v>38</v>
      </c>
      <c r="C3" s="6"/>
      <c r="D3" s="12"/>
      <c r="E3" s="12"/>
      <c r="F3" s="12"/>
      <c r="G3" s="12"/>
      <c r="H3" s="1" t="s">
        <v>4</v>
      </c>
      <c r="I3" s="12"/>
      <c r="J3" s="61">
        <f t="shared" si="0"/>
        <v>0</v>
      </c>
      <c r="K3" s="62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104" customFormat="1">
      <c r="A4" s="49"/>
      <c r="B4" s="6" t="s">
        <v>128</v>
      </c>
      <c r="C4" s="6"/>
      <c r="D4" s="12"/>
      <c r="E4" s="12"/>
      <c r="F4" s="12"/>
      <c r="G4" s="12"/>
      <c r="H4" s="1" t="s">
        <v>4</v>
      </c>
      <c r="I4" s="12"/>
      <c r="J4" s="61">
        <f t="shared" si="0"/>
        <v>0</v>
      </c>
      <c r="K4" s="62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104" customFormat="1">
      <c r="A5" s="49"/>
      <c r="B5" s="6" t="s">
        <v>40</v>
      </c>
      <c r="C5" s="6"/>
      <c r="D5" s="12"/>
      <c r="E5" s="12"/>
      <c r="F5" s="12"/>
      <c r="G5" s="12"/>
      <c r="H5" s="1" t="s">
        <v>4</v>
      </c>
      <c r="I5" s="12"/>
      <c r="J5" s="61">
        <f t="shared" si="0"/>
        <v>0</v>
      </c>
      <c r="K5" s="62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104" customFormat="1">
      <c r="A6" s="49"/>
      <c r="B6" s="6" t="s">
        <v>129</v>
      </c>
      <c r="C6" s="6"/>
      <c r="D6" s="12"/>
      <c r="E6" s="12"/>
      <c r="F6" s="12"/>
      <c r="G6" s="12"/>
      <c r="H6" s="1" t="s">
        <v>4</v>
      </c>
      <c r="I6" s="12"/>
      <c r="J6" s="61">
        <f t="shared" si="0"/>
        <v>0</v>
      </c>
      <c r="K6" s="62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104" customFormat="1">
      <c r="A7" s="49"/>
      <c r="B7" s="6" t="s">
        <v>35</v>
      </c>
      <c r="C7" s="6"/>
      <c r="D7" s="12"/>
      <c r="E7" s="12"/>
      <c r="F7" s="12"/>
      <c r="G7" s="12"/>
      <c r="H7" s="1" t="s">
        <v>4</v>
      </c>
      <c r="I7" s="12"/>
      <c r="J7" s="61">
        <f t="shared" si="0"/>
        <v>431571.27176454698</v>
      </c>
      <c r="K7" s="62"/>
      <c r="L7" s="78">
        <v>20000</v>
      </c>
      <c r="M7" s="78">
        <f>L7*1.05</f>
        <v>21000</v>
      </c>
      <c r="N7" s="78">
        <f t="shared" ref="N7:Z7" si="2">M7*1.05</f>
        <v>22050</v>
      </c>
      <c r="O7" s="78">
        <f t="shared" si="2"/>
        <v>23152.5</v>
      </c>
      <c r="P7" s="78">
        <f t="shared" si="2"/>
        <v>24310.125</v>
      </c>
      <c r="Q7" s="78">
        <f t="shared" si="2"/>
        <v>25525.631250000002</v>
      </c>
      <c r="R7" s="78">
        <f t="shared" si="2"/>
        <v>26801.912812500002</v>
      </c>
      <c r="S7" s="78">
        <f t="shared" si="2"/>
        <v>28142.008453125003</v>
      </c>
      <c r="T7" s="78">
        <f t="shared" si="2"/>
        <v>29549.108875781254</v>
      </c>
      <c r="U7" s="78">
        <f t="shared" si="2"/>
        <v>31026.56431957032</v>
      </c>
      <c r="V7" s="78">
        <f t="shared" si="2"/>
        <v>32577.892535548835</v>
      </c>
      <c r="W7" s="78">
        <f t="shared" si="2"/>
        <v>34206.787162326276</v>
      </c>
      <c r="X7" s="78">
        <f t="shared" si="2"/>
        <v>35917.126520442594</v>
      </c>
      <c r="Y7" s="78">
        <f t="shared" si="2"/>
        <v>37712.982846464729</v>
      </c>
      <c r="Z7" s="78">
        <f t="shared" si="2"/>
        <v>39598.631988787965</v>
      </c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104" customFormat="1">
      <c r="A8" s="49"/>
      <c r="B8" s="6" t="s">
        <v>41</v>
      </c>
      <c r="C8" s="6"/>
      <c r="D8" s="12"/>
      <c r="E8" s="12"/>
      <c r="F8" s="12"/>
      <c r="G8" s="12"/>
      <c r="H8" s="1" t="s">
        <v>4</v>
      </c>
      <c r="I8" s="12"/>
      <c r="J8" s="61">
        <f t="shared" si="0"/>
        <v>0</v>
      </c>
      <c r="K8" s="62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ht="5.0999999999999996" customHeight="1"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</row>
    <row r="10" spans="1:41" s="103" customFormat="1" ht="13.5" thickBot="1">
      <c r="A10" s="34"/>
      <c r="B10" s="28" t="s">
        <v>48</v>
      </c>
      <c r="C10" s="28"/>
      <c r="D10" s="28"/>
      <c r="E10" s="28"/>
      <c r="F10" s="28"/>
      <c r="G10" s="28"/>
      <c r="H10" s="31" t="s">
        <v>4</v>
      </c>
      <c r="I10" s="28"/>
      <c r="J10" s="60">
        <f>SUM(L10:AO10)</f>
        <v>2291462.6604337627</v>
      </c>
      <c r="K10" s="60"/>
      <c r="L10" s="60">
        <f>SUM(L2:L8)</f>
        <v>120000</v>
      </c>
      <c r="M10" s="60">
        <f t="shared" ref="M10:AO10" si="3">SUM(M2:M8)</f>
        <v>124000</v>
      </c>
      <c r="N10" s="60">
        <f t="shared" si="3"/>
        <v>128140</v>
      </c>
      <c r="O10" s="60">
        <f t="shared" si="3"/>
        <v>132425.20000000001</v>
      </c>
      <c r="P10" s="60">
        <f t="shared" si="3"/>
        <v>136861.00599999999</v>
      </c>
      <c r="Q10" s="60">
        <f t="shared" si="3"/>
        <v>141453.03868</v>
      </c>
      <c r="R10" s="60">
        <f t="shared" si="3"/>
        <v>146207.14246540001</v>
      </c>
      <c r="S10" s="60">
        <f t="shared" si="3"/>
        <v>151129.39499561201</v>
      </c>
      <c r="T10" s="60">
        <f t="shared" si="3"/>
        <v>156226.11701454286</v>
      </c>
      <c r="U10" s="60">
        <f t="shared" si="3"/>
        <v>161503.8827024948</v>
      </c>
      <c r="V10" s="60">
        <f t="shared" si="3"/>
        <v>166969.53046996103</v>
      </c>
      <c r="W10" s="60">
        <f t="shared" si="3"/>
        <v>172630.17423477085</v>
      </c>
      <c r="X10" s="60">
        <f t="shared" si="3"/>
        <v>178493.21520506052</v>
      </c>
      <c r="Y10" s="60">
        <f t="shared" si="3"/>
        <v>184566.35419162118</v>
      </c>
      <c r="Z10" s="60">
        <f t="shared" si="3"/>
        <v>190857.60447429912</v>
      </c>
      <c r="AA10" s="60">
        <f t="shared" si="3"/>
        <v>0</v>
      </c>
      <c r="AB10" s="60">
        <f t="shared" si="3"/>
        <v>0</v>
      </c>
      <c r="AC10" s="60">
        <f t="shared" si="3"/>
        <v>0</v>
      </c>
      <c r="AD10" s="60">
        <f t="shared" si="3"/>
        <v>0</v>
      </c>
      <c r="AE10" s="60">
        <f t="shared" si="3"/>
        <v>0</v>
      </c>
      <c r="AF10" s="60">
        <f t="shared" si="3"/>
        <v>0</v>
      </c>
      <c r="AG10" s="60">
        <f t="shared" si="3"/>
        <v>0</v>
      </c>
      <c r="AH10" s="60">
        <f t="shared" si="3"/>
        <v>0</v>
      </c>
      <c r="AI10" s="60">
        <f t="shared" si="3"/>
        <v>0</v>
      </c>
      <c r="AJ10" s="60">
        <f t="shared" si="3"/>
        <v>0</v>
      </c>
      <c r="AK10" s="60">
        <f t="shared" si="3"/>
        <v>0</v>
      </c>
      <c r="AL10" s="60">
        <f t="shared" si="3"/>
        <v>0</v>
      </c>
      <c r="AM10" s="60">
        <f t="shared" si="3"/>
        <v>0</v>
      </c>
      <c r="AN10" s="60">
        <f t="shared" si="3"/>
        <v>0</v>
      </c>
      <c r="AO10" s="60">
        <f t="shared" si="3"/>
        <v>0</v>
      </c>
    </row>
    <row r="11" spans="1:41" s="103" customFormat="1">
      <c r="A11" s="34"/>
      <c r="B11" s="29" t="s">
        <v>49</v>
      </c>
      <c r="C11" s="29"/>
      <c r="D11" s="29"/>
      <c r="E11" s="29"/>
      <c r="F11" s="29"/>
      <c r="G11" s="29"/>
      <c r="H11" s="33" t="s">
        <v>4</v>
      </c>
      <c r="I11" s="29"/>
      <c r="J11" s="61">
        <f>SUM(L11:AO11)</f>
        <v>309981.89811153593</v>
      </c>
      <c r="K11" s="61"/>
      <c r="L11" s="61">
        <f>(L10-L4-L6-L7-L8)/1.2*0.2</f>
        <v>16666.666666666668</v>
      </c>
      <c r="M11" s="61">
        <f t="shared" ref="M11:AO11" si="4">(M10-M4-M6-M7-M8)/1.2*0.2</f>
        <v>17166.666666666668</v>
      </c>
      <c r="N11" s="61">
        <f t="shared" si="4"/>
        <v>17681.666666666668</v>
      </c>
      <c r="O11" s="61">
        <f t="shared" si="4"/>
        <v>18212.116666666669</v>
      </c>
      <c r="P11" s="61">
        <f t="shared" si="4"/>
        <v>18758.480166666668</v>
      </c>
      <c r="Q11" s="61">
        <f t="shared" si="4"/>
        <v>19321.234571666668</v>
      </c>
      <c r="R11" s="61">
        <f t="shared" si="4"/>
        <v>19900.871608816669</v>
      </c>
      <c r="S11" s="61">
        <f t="shared" si="4"/>
        <v>20497.897757081169</v>
      </c>
      <c r="T11" s="61">
        <f t="shared" si="4"/>
        <v>21112.834689793603</v>
      </c>
      <c r="U11" s="61">
        <f t="shared" si="4"/>
        <v>21746.219730487413</v>
      </c>
      <c r="V11" s="61">
        <f t="shared" si="4"/>
        <v>22398.606322402033</v>
      </c>
      <c r="W11" s="61">
        <f t="shared" si="4"/>
        <v>23070.564512074096</v>
      </c>
      <c r="X11" s="61">
        <f t="shared" si="4"/>
        <v>23762.68144743632</v>
      </c>
      <c r="Y11" s="61">
        <f t="shared" si="4"/>
        <v>24475.561890859412</v>
      </c>
      <c r="Z11" s="61">
        <f t="shared" si="4"/>
        <v>25209.828747585198</v>
      </c>
      <c r="AA11" s="61">
        <f t="shared" si="4"/>
        <v>0</v>
      </c>
      <c r="AB11" s="61">
        <f t="shared" si="4"/>
        <v>0</v>
      </c>
      <c r="AC11" s="61">
        <f t="shared" si="4"/>
        <v>0</v>
      </c>
      <c r="AD11" s="61">
        <f t="shared" si="4"/>
        <v>0</v>
      </c>
      <c r="AE11" s="61">
        <f t="shared" si="4"/>
        <v>0</v>
      </c>
      <c r="AF11" s="61">
        <f t="shared" si="4"/>
        <v>0</v>
      </c>
      <c r="AG11" s="61">
        <f t="shared" si="4"/>
        <v>0</v>
      </c>
      <c r="AH11" s="61">
        <f t="shared" si="4"/>
        <v>0</v>
      </c>
      <c r="AI11" s="61">
        <f t="shared" si="4"/>
        <v>0</v>
      </c>
      <c r="AJ11" s="61">
        <f t="shared" si="4"/>
        <v>0</v>
      </c>
      <c r="AK11" s="61">
        <f t="shared" si="4"/>
        <v>0</v>
      </c>
      <c r="AL11" s="61">
        <f t="shared" si="4"/>
        <v>0</v>
      </c>
      <c r="AM11" s="61">
        <f t="shared" si="4"/>
        <v>0</v>
      </c>
      <c r="AN11" s="61">
        <f t="shared" si="4"/>
        <v>0</v>
      </c>
      <c r="AO11" s="61">
        <f t="shared" si="4"/>
        <v>0</v>
      </c>
    </row>
    <row r="12" spans="1:41" ht="5.0999999999999996" customHeight="1">
      <c r="J12" s="73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</row>
    <row r="13" spans="1:41" s="103" customFormat="1">
      <c r="A13" s="34"/>
      <c r="B13" s="29" t="s">
        <v>50</v>
      </c>
      <c r="C13" s="29"/>
      <c r="D13" s="29"/>
      <c r="E13" s="29"/>
      <c r="F13" s="29"/>
      <c r="G13" s="29"/>
      <c r="H13" s="33" t="s">
        <v>4</v>
      </c>
      <c r="I13" s="29"/>
      <c r="J13" s="61">
        <f>SUM(L13:AO13)</f>
        <v>1981480.7623222263</v>
      </c>
      <c r="K13" s="61"/>
      <c r="L13" s="61">
        <f>L10-L11</f>
        <v>103333.33333333333</v>
      </c>
      <c r="M13" s="61">
        <f t="shared" ref="M13:AF13" si="5">M10-M11</f>
        <v>106833.33333333333</v>
      </c>
      <c r="N13" s="61">
        <f t="shared" si="5"/>
        <v>110458.33333333333</v>
      </c>
      <c r="O13" s="61">
        <f t="shared" si="5"/>
        <v>114213.08333333334</v>
      </c>
      <c r="P13" s="61">
        <f t="shared" si="5"/>
        <v>118102.52583333332</v>
      </c>
      <c r="Q13" s="61">
        <f t="shared" si="5"/>
        <v>122131.80410833334</v>
      </c>
      <c r="R13" s="61">
        <f t="shared" si="5"/>
        <v>126306.27085658335</v>
      </c>
      <c r="S13" s="61">
        <f t="shared" si="5"/>
        <v>130631.49723853084</v>
      </c>
      <c r="T13" s="61">
        <f t="shared" si="5"/>
        <v>135113.28232474925</v>
      </c>
      <c r="U13" s="61">
        <f t="shared" si="5"/>
        <v>139757.66297200738</v>
      </c>
      <c r="V13" s="61">
        <f t="shared" si="5"/>
        <v>144570.92414755898</v>
      </c>
      <c r="W13" s="61">
        <f t="shared" si="5"/>
        <v>149559.60972269677</v>
      </c>
      <c r="X13" s="61">
        <f t="shared" si="5"/>
        <v>154730.53375762422</v>
      </c>
      <c r="Y13" s="61">
        <f t="shared" si="5"/>
        <v>160090.79230076176</v>
      </c>
      <c r="Z13" s="61">
        <f t="shared" si="5"/>
        <v>165647.77572671394</v>
      </c>
      <c r="AA13" s="61">
        <f t="shared" si="5"/>
        <v>0</v>
      </c>
      <c r="AB13" s="61">
        <f t="shared" si="5"/>
        <v>0</v>
      </c>
      <c r="AC13" s="61">
        <f t="shared" si="5"/>
        <v>0</v>
      </c>
      <c r="AD13" s="61">
        <f t="shared" si="5"/>
        <v>0</v>
      </c>
      <c r="AE13" s="61">
        <f t="shared" si="5"/>
        <v>0</v>
      </c>
      <c r="AF13" s="61">
        <f t="shared" si="5"/>
        <v>0</v>
      </c>
      <c r="AG13" s="61">
        <f>AG10-AG11</f>
        <v>0</v>
      </c>
      <c r="AH13" s="61">
        <f>AH10-AH11</f>
        <v>0</v>
      </c>
      <c r="AI13" s="61">
        <f>AI10-AI11</f>
        <v>0</v>
      </c>
      <c r="AJ13" s="61">
        <f>AJ10-AJ11</f>
        <v>0</v>
      </c>
      <c r="AK13" s="61">
        <f t="shared" ref="AK13:AN13" si="6">AK10-AK11</f>
        <v>0</v>
      </c>
      <c r="AL13" s="61">
        <f t="shared" si="6"/>
        <v>0</v>
      </c>
      <c r="AM13" s="61">
        <f t="shared" si="6"/>
        <v>0</v>
      </c>
      <c r="AN13" s="61">
        <f t="shared" si="6"/>
        <v>0</v>
      </c>
      <c r="AO13" s="61">
        <f t="shared" ref="AO13" si="7">AO10-AO11</f>
        <v>0</v>
      </c>
    </row>
    <row r="14" spans="1:41" s="103" customFormat="1" ht="13.5" thickBot="1">
      <c r="A14" s="34"/>
      <c r="B14" s="30" t="s">
        <v>51</v>
      </c>
      <c r="C14" s="30"/>
      <c r="D14" s="30"/>
      <c r="E14" s="30"/>
      <c r="F14" s="30"/>
      <c r="G14" s="30"/>
      <c r="H14" s="35" t="s">
        <v>4</v>
      </c>
      <c r="I14" s="30"/>
      <c r="J14" s="75">
        <f>SUM(L14:AO14)</f>
        <v>1981480.7623222263</v>
      </c>
      <c r="K14" s="75"/>
      <c r="L14" s="75">
        <f>SUM(L13)</f>
        <v>103333.33333333333</v>
      </c>
      <c r="M14" s="75">
        <f t="shared" ref="M14:AJ14" si="8">SUM(M13)</f>
        <v>106833.33333333333</v>
      </c>
      <c r="N14" s="75">
        <f t="shared" si="8"/>
        <v>110458.33333333333</v>
      </c>
      <c r="O14" s="75">
        <f t="shared" si="8"/>
        <v>114213.08333333334</v>
      </c>
      <c r="P14" s="75">
        <f t="shared" si="8"/>
        <v>118102.52583333332</v>
      </c>
      <c r="Q14" s="75">
        <f t="shared" si="8"/>
        <v>122131.80410833334</v>
      </c>
      <c r="R14" s="75">
        <f t="shared" si="8"/>
        <v>126306.27085658335</v>
      </c>
      <c r="S14" s="75">
        <f t="shared" si="8"/>
        <v>130631.49723853084</v>
      </c>
      <c r="T14" s="75">
        <f t="shared" si="8"/>
        <v>135113.28232474925</v>
      </c>
      <c r="U14" s="75">
        <f t="shared" si="8"/>
        <v>139757.66297200738</v>
      </c>
      <c r="V14" s="75">
        <f t="shared" si="8"/>
        <v>144570.92414755898</v>
      </c>
      <c r="W14" s="75">
        <f t="shared" si="8"/>
        <v>149559.60972269677</v>
      </c>
      <c r="X14" s="75">
        <f t="shared" si="8"/>
        <v>154730.53375762422</v>
      </c>
      <c r="Y14" s="75">
        <f t="shared" si="8"/>
        <v>160090.79230076176</v>
      </c>
      <c r="Z14" s="75">
        <f t="shared" si="8"/>
        <v>165647.77572671394</v>
      </c>
      <c r="AA14" s="75">
        <f t="shared" si="8"/>
        <v>0</v>
      </c>
      <c r="AB14" s="75">
        <f t="shared" si="8"/>
        <v>0</v>
      </c>
      <c r="AC14" s="75">
        <f t="shared" si="8"/>
        <v>0</v>
      </c>
      <c r="AD14" s="75">
        <f t="shared" si="8"/>
        <v>0</v>
      </c>
      <c r="AE14" s="75">
        <f t="shared" si="8"/>
        <v>0</v>
      </c>
      <c r="AF14" s="75">
        <f t="shared" si="8"/>
        <v>0</v>
      </c>
      <c r="AG14" s="75">
        <f t="shared" si="8"/>
        <v>0</v>
      </c>
      <c r="AH14" s="75">
        <f t="shared" si="8"/>
        <v>0</v>
      </c>
      <c r="AI14" s="75">
        <f t="shared" si="8"/>
        <v>0</v>
      </c>
      <c r="AJ14" s="75">
        <f t="shared" si="8"/>
        <v>0</v>
      </c>
      <c r="AK14" s="75">
        <f t="shared" ref="AK14:AN14" si="9">SUM(AK13)</f>
        <v>0</v>
      </c>
      <c r="AL14" s="75">
        <f t="shared" si="9"/>
        <v>0</v>
      </c>
      <c r="AM14" s="75">
        <f t="shared" si="9"/>
        <v>0</v>
      </c>
      <c r="AN14" s="75">
        <f t="shared" si="9"/>
        <v>0</v>
      </c>
      <c r="AO14" s="75">
        <f t="shared" ref="AO14" si="10">SUM(AO13)</f>
        <v>0</v>
      </c>
    </row>
    <row r="15" spans="1:41" ht="13.5" thickTop="1"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41"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2:36"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2:36"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2:36"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2:36"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2:36"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</sheetData>
  <customSheetViews>
    <customSheetView guid="{7D5A2C9F-3ABE-4F29-B54C-C3E3AA98CA69}" scale="60" showPageBreaks="1" printArea="1" hiddenColumns="1" view="pageBreakPreview">
      <pane xSplit="11" ySplit="1" topLeftCell="L2" activePane="bottomRight" state="frozen"/>
      <selection pane="bottomRight"/>
      <colBreaks count="1" manualBreakCount="1">
        <brk id="26" max="13" man="1"/>
      </colBreaks>
      <pageMargins left="7.874015748031496E-2" right="7.874015748031496E-2" top="0.98425196850393704" bottom="0.74803149606299213" header="0.31496062992125984" footer="0.31496062992125984"/>
      <pageSetup paperSize="9" scale="54" fitToWidth="2" orientation="landscape" horizontalDpi="0" verticalDpi="0" r:id="rId1"/>
      <headerFooter>
        <oddHeader>&amp;R&amp;G</oddHeader>
      </headerFooter>
    </customSheetView>
  </customSheetViews>
  <pageMargins left="7.874015748031496E-2" right="7.874015748031496E-2" top="0.98425196850393704" bottom="0.74803149606299213" header="0.31496062992125984" footer="0.31496062992125984"/>
  <pageSetup paperSize="9" scale="54" fitToWidth="2" orientation="landscape" horizontalDpi="0" verticalDpi="0" r:id="rId2"/>
  <headerFooter>
    <oddHeader>&amp;R&amp;G</oddHeader>
  </headerFooter>
  <colBreaks count="1" manualBreakCount="1">
    <brk id="26" max="13" man="1"/>
  </col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56"/>
  <sheetViews>
    <sheetView zoomScale="75" zoomScaleNormal="7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M36" sqref="M36"/>
    </sheetView>
  </sheetViews>
  <sheetFormatPr defaultColWidth="0" defaultRowHeight="12.75"/>
  <cols>
    <col min="1" max="1" width="2.7109375" style="26" customWidth="1"/>
    <col min="2" max="3" width="2.7109375" style="17" customWidth="1"/>
    <col min="4" max="6" width="9.140625" style="17" customWidth="1"/>
    <col min="7" max="7" width="2.7109375" style="17" customWidth="1"/>
    <col min="8" max="8" width="10.7109375" style="18" customWidth="1"/>
    <col min="9" max="9" width="1.7109375" style="17" customWidth="1"/>
    <col min="10" max="10" width="15.140625" style="19" bestFit="1" customWidth="1"/>
    <col min="11" max="11" width="1.7109375" style="17" customWidth="1"/>
    <col min="12" max="12" width="13" style="17" bestFit="1" customWidth="1"/>
    <col min="13" max="36" width="11.5703125" style="17" bestFit="1" customWidth="1"/>
    <col min="37" max="37" width="1.7109375" style="26" customWidth="1"/>
    <col min="38" max="16384" width="9.140625" style="17" hidden="1"/>
  </cols>
  <sheetData>
    <row r="1" spans="1:37" s="10" customFormat="1">
      <c r="A1" s="48"/>
      <c r="H1" s="10" t="s">
        <v>3</v>
      </c>
      <c r="J1" s="16" t="s">
        <v>2</v>
      </c>
      <c r="L1" s="10">
        <v>2022</v>
      </c>
      <c r="M1" s="10">
        <v>2023</v>
      </c>
      <c r="N1" s="10">
        <v>2024</v>
      </c>
      <c r="O1" s="10">
        <v>2025</v>
      </c>
      <c r="P1" s="10">
        <v>2026</v>
      </c>
      <c r="Q1" s="10">
        <v>2027</v>
      </c>
      <c r="R1" s="10">
        <v>2028</v>
      </c>
      <c r="S1" s="10">
        <v>2029</v>
      </c>
      <c r="T1" s="10">
        <v>2030</v>
      </c>
      <c r="U1" s="10">
        <v>2031</v>
      </c>
      <c r="V1" s="10">
        <v>2032</v>
      </c>
      <c r="W1" s="10">
        <v>2033</v>
      </c>
      <c r="X1" s="10">
        <v>2034</v>
      </c>
      <c r="Y1" s="10">
        <v>2035</v>
      </c>
      <c r="Z1" s="10">
        <v>2036</v>
      </c>
      <c r="AA1" s="10">
        <v>2037</v>
      </c>
      <c r="AB1" s="10">
        <v>2038</v>
      </c>
      <c r="AC1" s="10">
        <v>2039</v>
      </c>
      <c r="AD1" s="10">
        <v>2040</v>
      </c>
      <c r="AE1" s="10">
        <v>2041</v>
      </c>
      <c r="AF1" s="10">
        <v>2042</v>
      </c>
      <c r="AG1" s="10">
        <v>2043</v>
      </c>
      <c r="AH1" s="10">
        <v>2044</v>
      </c>
      <c r="AI1" s="10">
        <v>2045</v>
      </c>
      <c r="AJ1" s="10">
        <v>2046</v>
      </c>
      <c r="AK1" s="102"/>
    </row>
    <row r="2" spans="1:37" s="28" customFormat="1" ht="13.5" thickBot="1">
      <c r="A2" s="34"/>
      <c r="B2" s="28" t="s">
        <v>42</v>
      </c>
      <c r="H2" s="31" t="s">
        <v>4</v>
      </c>
      <c r="L2" s="28" t="e">
        <f>L3+L11+L21+L29</f>
        <v>#REF!</v>
      </c>
      <c r="M2" s="28" t="e">
        <f t="shared" ref="M2:AJ2" si="0">M3+M11+M21+M29</f>
        <v>#REF!</v>
      </c>
      <c r="N2" s="28" t="e">
        <f t="shared" si="0"/>
        <v>#REF!</v>
      </c>
      <c r="O2" s="28" t="e">
        <f t="shared" si="0"/>
        <v>#REF!</v>
      </c>
      <c r="P2" s="28" t="e">
        <f t="shared" si="0"/>
        <v>#REF!</v>
      </c>
      <c r="Q2" s="28" t="e">
        <f t="shared" si="0"/>
        <v>#REF!</v>
      </c>
      <c r="R2" s="28" t="e">
        <f t="shared" si="0"/>
        <v>#REF!</v>
      </c>
      <c r="S2" s="28" t="e">
        <f t="shared" si="0"/>
        <v>#REF!</v>
      </c>
      <c r="T2" s="28" t="e">
        <f t="shared" si="0"/>
        <v>#REF!</v>
      </c>
      <c r="U2" s="28" t="e">
        <f t="shared" si="0"/>
        <v>#REF!</v>
      </c>
      <c r="V2" s="28" t="e">
        <f t="shared" si="0"/>
        <v>#REF!</v>
      </c>
      <c r="W2" s="28" t="e">
        <f t="shared" si="0"/>
        <v>#REF!</v>
      </c>
      <c r="X2" s="28" t="e">
        <f t="shared" si="0"/>
        <v>#REF!</v>
      </c>
      <c r="Y2" s="28" t="e">
        <f t="shared" si="0"/>
        <v>#REF!</v>
      </c>
      <c r="Z2" s="28" t="e">
        <f t="shared" si="0"/>
        <v>#REF!</v>
      </c>
      <c r="AA2" s="28" t="e">
        <f t="shared" si="0"/>
        <v>#REF!</v>
      </c>
      <c r="AB2" s="28" t="e">
        <f t="shared" si="0"/>
        <v>#REF!</v>
      </c>
      <c r="AC2" s="28" t="e">
        <f t="shared" si="0"/>
        <v>#REF!</v>
      </c>
      <c r="AD2" s="28" t="e">
        <f t="shared" si="0"/>
        <v>#REF!</v>
      </c>
      <c r="AE2" s="28" t="e">
        <f t="shared" si="0"/>
        <v>#REF!</v>
      </c>
      <c r="AF2" s="28" t="e">
        <f t="shared" si="0"/>
        <v>#REF!</v>
      </c>
      <c r="AG2" s="28" t="e">
        <f t="shared" si="0"/>
        <v>#REF!</v>
      </c>
      <c r="AH2" s="28" t="e">
        <f t="shared" si="0"/>
        <v>#REF!</v>
      </c>
      <c r="AI2" s="28" t="e">
        <f t="shared" si="0"/>
        <v>#REF!</v>
      </c>
      <c r="AJ2" s="28" t="e">
        <f t="shared" si="0"/>
        <v>#REF!</v>
      </c>
      <c r="AK2" s="103"/>
    </row>
    <row r="3" spans="1:37" s="29" customFormat="1">
      <c r="A3" s="34"/>
      <c r="C3" s="32" t="s">
        <v>9</v>
      </c>
      <c r="H3" s="33" t="s">
        <v>4</v>
      </c>
      <c r="J3" s="29" t="e">
        <f>SUM(L3:AJ3)</f>
        <v>#REF!</v>
      </c>
      <c r="L3" s="29" t="e">
        <f t="shared" ref="L3:AJ3" si="1">L4*(L5*L6+L7*L8)+L9*L10</f>
        <v>#REF!</v>
      </c>
      <c r="M3" s="29" t="e">
        <f t="shared" si="1"/>
        <v>#REF!</v>
      </c>
      <c r="N3" s="29" t="e">
        <f t="shared" si="1"/>
        <v>#REF!</v>
      </c>
      <c r="O3" s="29" t="e">
        <f t="shared" si="1"/>
        <v>#REF!</v>
      </c>
      <c r="P3" s="29" t="e">
        <f t="shared" si="1"/>
        <v>#REF!</v>
      </c>
      <c r="Q3" s="29" t="e">
        <f t="shared" si="1"/>
        <v>#REF!</v>
      </c>
      <c r="R3" s="29" t="e">
        <f t="shared" si="1"/>
        <v>#REF!</v>
      </c>
      <c r="S3" s="29" t="e">
        <f t="shared" si="1"/>
        <v>#REF!</v>
      </c>
      <c r="T3" s="29" t="e">
        <f t="shared" si="1"/>
        <v>#REF!</v>
      </c>
      <c r="U3" s="29" t="e">
        <f t="shared" si="1"/>
        <v>#REF!</v>
      </c>
      <c r="V3" s="29" t="e">
        <f t="shared" si="1"/>
        <v>#REF!</v>
      </c>
      <c r="W3" s="29" t="e">
        <f t="shared" si="1"/>
        <v>#REF!</v>
      </c>
      <c r="X3" s="29" t="e">
        <f t="shared" si="1"/>
        <v>#REF!</v>
      </c>
      <c r="Y3" s="29" t="e">
        <f t="shared" si="1"/>
        <v>#REF!</v>
      </c>
      <c r="Z3" s="29" t="e">
        <f t="shared" si="1"/>
        <v>#REF!</v>
      </c>
      <c r="AA3" s="29" t="e">
        <f t="shared" si="1"/>
        <v>#REF!</v>
      </c>
      <c r="AB3" s="29" t="e">
        <f t="shared" si="1"/>
        <v>#REF!</v>
      </c>
      <c r="AC3" s="29" t="e">
        <f t="shared" si="1"/>
        <v>#REF!</v>
      </c>
      <c r="AD3" s="29" t="e">
        <f t="shared" si="1"/>
        <v>#REF!</v>
      </c>
      <c r="AE3" s="29" t="e">
        <f t="shared" si="1"/>
        <v>#REF!</v>
      </c>
      <c r="AF3" s="29" t="e">
        <f t="shared" si="1"/>
        <v>#REF!</v>
      </c>
      <c r="AG3" s="29" t="e">
        <f t="shared" si="1"/>
        <v>#REF!</v>
      </c>
      <c r="AH3" s="29" t="e">
        <f t="shared" si="1"/>
        <v>#REF!</v>
      </c>
      <c r="AI3" s="29" t="e">
        <f t="shared" si="1"/>
        <v>#REF!</v>
      </c>
      <c r="AJ3" s="29" t="e">
        <f t="shared" si="1"/>
        <v>#REF!</v>
      </c>
      <c r="AK3" s="103"/>
    </row>
    <row r="4" spans="1:37" s="13" customFormat="1">
      <c r="A4" s="49"/>
      <c r="B4" s="12"/>
      <c r="C4" s="6"/>
      <c r="D4" s="12" t="s">
        <v>28</v>
      </c>
      <c r="E4" s="12"/>
      <c r="F4" s="12"/>
      <c r="G4" s="12"/>
      <c r="H4" s="1" t="s">
        <v>26</v>
      </c>
      <c r="I4" s="12"/>
      <c r="J4" s="61"/>
      <c r="K4" s="62"/>
      <c r="L4" s="98" t="e">
        <f>Баланс_ресурсов!L2</f>
        <v>#REF!</v>
      </c>
      <c r="M4" s="98" t="e">
        <f>Баланс_ресурсов!M2</f>
        <v>#REF!</v>
      </c>
      <c r="N4" s="98" t="e">
        <f>Баланс_ресурсов!N2</f>
        <v>#REF!</v>
      </c>
      <c r="O4" s="98" t="e">
        <f>Баланс_ресурсов!O2</f>
        <v>#REF!</v>
      </c>
      <c r="P4" s="98" t="e">
        <f>Баланс_ресурсов!P2</f>
        <v>#REF!</v>
      </c>
      <c r="Q4" s="98" t="e">
        <f>Баланс_ресурсов!Q2</f>
        <v>#REF!</v>
      </c>
      <c r="R4" s="98" t="e">
        <f>Баланс_ресурсов!R2</f>
        <v>#REF!</v>
      </c>
      <c r="S4" s="98" t="e">
        <f>Баланс_ресурсов!S2</f>
        <v>#REF!</v>
      </c>
      <c r="T4" s="98" t="e">
        <f>Баланс_ресурсов!T2</f>
        <v>#REF!</v>
      </c>
      <c r="U4" s="98" t="e">
        <f>Баланс_ресурсов!U2</f>
        <v>#REF!</v>
      </c>
      <c r="V4" s="98" t="e">
        <f>Баланс_ресурсов!V2</f>
        <v>#REF!</v>
      </c>
      <c r="W4" s="98" t="e">
        <f>Баланс_ресурсов!W2</f>
        <v>#REF!</v>
      </c>
      <c r="X4" s="98" t="e">
        <f>Баланс_ресурсов!X2</f>
        <v>#REF!</v>
      </c>
      <c r="Y4" s="98" t="e">
        <f>Баланс_ресурсов!Y2</f>
        <v>#REF!</v>
      </c>
      <c r="Z4" s="98" t="e">
        <f>Баланс_ресурсов!Z2</f>
        <v>#REF!</v>
      </c>
      <c r="AA4" s="98" t="e">
        <f>Баланс_ресурсов!AA2</f>
        <v>#REF!</v>
      </c>
      <c r="AB4" s="98" t="e">
        <f>Баланс_ресурсов!AB2</f>
        <v>#REF!</v>
      </c>
      <c r="AC4" s="98" t="e">
        <f>Баланс_ресурсов!AC2</f>
        <v>#REF!</v>
      </c>
      <c r="AD4" s="98" t="e">
        <f>Баланс_ресурсов!AD2</f>
        <v>#REF!</v>
      </c>
      <c r="AE4" s="98" t="e">
        <f>Баланс_ресурсов!AE2</f>
        <v>#REF!</v>
      </c>
      <c r="AF4" s="98" t="e">
        <f>Баланс_ресурсов!AF2</f>
        <v>#REF!</v>
      </c>
      <c r="AG4" s="98" t="e">
        <f>Баланс_ресурсов!AG2</f>
        <v>#REF!</v>
      </c>
      <c r="AH4" s="98" t="e">
        <f>Баланс_ресурсов!AH2</f>
        <v>#REF!</v>
      </c>
      <c r="AI4" s="98" t="e">
        <f>Баланс_ресурсов!AI2</f>
        <v>#REF!</v>
      </c>
      <c r="AJ4" s="98" t="e">
        <f>Баланс_ресурсов!AJ2</f>
        <v>#REF!</v>
      </c>
      <c r="AK4" s="104"/>
    </row>
    <row r="5" spans="1:37" s="47" customFormat="1">
      <c r="A5" s="49"/>
      <c r="B5" s="44"/>
      <c r="C5" s="45"/>
      <c r="D5" s="44" t="s">
        <v>29</v>
      </c>
      <c r="E5" s="44"/>
      <c r="F5" s="44"/>
      <c r="G5" s="44"/>
      <c r="H5" s="46" t="str">
        <f>"тыс. кВт*Ч / "&amp;H4</f>
        <v>тыс. кВт*Ч / тыс. куб. м.</v>
      </c>
      <c r="I5" s="44"/>
      <c r="J5" s="64"/>
      <c r="K5" s="65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104"/>
    </row>
    <row r="6" spans="1:37" s="43" customFormat="1">
      <c r="A6" s="49"/>
      <c r="B6" s="40"/>
      <c r="C6" s="41"/>
      <c r="D6" s="40" t="s">
        <v>30</v>
      </c>
      <c r="E6" s="40"/>
      <c r="F6" s="40"/>
      <c r="G6" s="40"/>
      <c r="H6" s="42" t="s">
        <v>32</v>
      </c>
      <c r="I6" s="40"/>
      <c r="J6" s="66"/>
      <c r="K6" s="67"/>
      <c r="L6" s="97">
        <v>6</v>
      </c>
      <c r="M6" s="97">
        <v>6</v>
      </c>
      <c r="N6" s="97">
        <v>6</v>
      </c>
      <c r="O6" s="97">
        <v>6</v>
      </c>
      <c r="P6" s="97">
        <v>6</v>
      </c>
      <c r="Q6" s="97">
        <v>6</v>
      </c>
      <c r="R6" s="97">
        <v>6</v>
      </c>
      <c r="S6" s="97">
        <v>6</v>
      </c>
      <c r="T6" s="97">
        <v>6</v>
      </c>
      <c r="U6" s="97">
        <v>6</v>
      </c>
      <c r="V6" s="97">
        <v>6</v>
      </c>
      <c r="W6" s="97">
        <v>6</v>
      </c>
      <c r="X6" s="97">
        <v>6</v>
      </c>
      <c r="Y6" s="97">
        <v>6</v>
      </c>
      <c r="Z6" s="97">
        <v>6</v>
      </c>
      <c r="AA6" s="97">
        <v>6</v>
      </c>
      <c r="AB6" s="97">
        <v>6</v>
      </c>
      <c r="AC6" s="97">
        <v>6</v>
      </c>
      <c r="AD6" s="97">
        <v>6</v>
      </c>
      <c r="AE6" s="97">
        <v>6</v>
      </c>
      <c r="AF6" s="97">
        <v>6</v>
      </c>
      <c r="AG6" s="97">
        <v>6</v>
      </c>
      <c r="AH6" s="97">
        <v>6</v>
      </c>
      <c r="AI6" s="97">
        <v>6</v>
      </c>
      <c r="AJ6" s="97">
        <v>6</v>
      </c>
      <c r="AK6" s="104"/>
    </row>
    <row r="7" spans="1:37" s="47" customFormat="1">
      <c r="A7" s="49"/>
      <c r="B7" s="44"/>
      <c r="C7" s="45"/>
      <c r="D7" s="44" t="s">
        <v>36</v>
      </c>
      <c r="E7" s="44"/>
      <c r="F7" s="44"/>
      <c r="G7" s="44"/>
      <c r="H7" s="46" t="str">
        <f>"тыс. кг / "&amp;H4</f>
        <v>тыс. кг / тыс. куб. м.</v>
      </c>
      <c r="I7" s="44"/>
      <c r="J7" s="64"/>
      <c r="K7" s="65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104"/>
    </row>
    <row r="8" spans="1:37" s="43" customFormat="1">
      <c r="A8" s="49"/>
      <c r="B8" s="40"/>
      <c r="C8" s="41"/>
      <c r="D8" s="40" t="s">
        <v>37</v>
      </c>
      <c r="E8" s="40"/>
      <c r="F8" s="40"/>
      <c r="G8" s="40"/>
      <c r="H8" s="42" t="s">
        <v>33</v>
      </c>
      <c r="I8" s="40"/>
      <c r="J8" s="66"/>
      <c r="K8" s="67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4"/>
    </row>
    <row r="9" spans="1:37" s="47" customFormat="1">
      <c r="A9" s="49"/>
      <c r="B9" s="44"/>
      <c r="C9" s="45"/>
      <c r="D9" s="44" t="s">
        <v>34</v>
      </c>
      <c r="E9" s="44"/>
      <c r="F9" s="44"/>
      <c r="G9" s="44"/>
      <c r="H9" s="46" t="str">
        <f>H4</f>
        <v>тыс. куб. м.</v>
      </c>
      <c r="I9" s="44"/>
      <c r="J9" s="64"/>
      <c r="K9" s="65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104"/>
    </row>
    <row r="10" spans="1:37" s="54" customFormat="1">
      <c r="A10" s="49"/>
      <c r="B10" s="51"/>
      <c r="C10" s="52"/>
      <c r="D10" s="51" t="s">
        <v>31</v>
      </c>
      <c r="E10" s="51"/>
      <c r="F10" s="51"/>
      <c r="G10" s="51"/>
      <c r="H10" s="53" t="s">
        <v>39</v>
      </c>
      <c r="I10" s="51"/>
      <c r="J10" s="68"/>
      <c r="K10" s="69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4"/>
    </row>
    <row r="11" spans="1:37" s="32" customFormat="1">
      <c r="A11" s="34"/>
      <c r="C11" s="32" t="s">
        <v>11</v>
      </c>
      <c r="H11" s="55" t="s">
        <v>4</v>
      </c>
      <c r="J11" s="32">
        <f>SUM(L11:AJ11)</f>
        <v>0</v>
      </c>
      <c r="L11" s="32">
        <f t="shared" ref="L11:AJ11" si="2">L12*(L13*L14+L15*L16)+L17*L18+L19*L20</f>
        <v>0</v>
      </c>
      <c r="M11" s="32">
        <f t="shared" si="2"/>
        <v>0</v>
      </c>
      <c r="N11" s="32">
        <f t="shared" si="2"/>
        <v>0</v>
      </c>
      <c r="O11" s="32">
        <f t="shared" si="2"/>
        <v>0</v>
      </c>
      <c r="P11" s="32">
        <f t="shared" si="2"/>
        <v>0</v>
      </c>
      <c r="Q11" s="32">
        <f t="shared" si="2"/>
        <v>0</v>
      </c>
      <c r="R11" s="32">
        <f t="shared" si="2"/>
        <v>0</v>
      </c>
      <c r="S11" s="32">
        <f t="shared" si="2"/>
        <v>0</v>
      </c>
      <c r="T11" s="32">
        <f t="shared" si="2"/>
        <v>0</v>
      </c>
      <c r="U11" s="32">
        <f t="shared" si="2"/>
        <v>0</v>
      </c>
      <c r="V11" s="32">
        <f t="shared" si="2"/>
        <v>0</v>
      </c>
      <c r="W11" s="32">
        <f t="shared" si="2"/>
        <v>0</v>
      </c>
      <c r="X11" s="32">
        <f t="shared" si="2"/>
        <v>0</v>
      </c>
      <c r="Y11" s="32">
        <f t="shared" si="2"/>
        <v>0</v>
      </c>
      <c r="Z11" s="32">
        <f t="shared" si="2"/>
        <v>0</v>
      </c>
      <c r="AA11" s="32">
        <f t="shared" si="2"/>
        <v>0</v>
      </c>
      <c r="AB11" s="32">
        <f t="shared" si="2"/>
        <v>0</v>
      </c>
      <c r="AC11" s="32">
        <f t="shared" si="2"/>
        <v>0</v>
      </c>
      <c r="AD11" s="32">
        <f t="shared" si="2"/>
        <v>0</v>
      </c>
      <c r="AE11" s="32">
        <f t="shared" si="2"/>
        <v>0</v>
      </c>
      <c r="AF11" s="32">
        <f t="shared" si="2"/>
        <v>0</v>
      </c>
      <c r="AG11" s="32">
        <f t="shared" si="2"/>
        <v>0</v>
      </c>
      <c r="AH11" s="32">
        <f t="shared" si="2"/>
        <v>0</v>
      </c>
      <c r="AI11" s="32">
        <f t="shared" si="2"/>
        <v>0</v>
      </c>
      <c r="AJ11" s="32">
        <f t="shared" si="2"/>
        <v>0</v>
      </c>
      <c r="AK11" s="103"/>
    </row>
    <row r="12" spans="1:37" s="43" customFormat="1">
      <c r="A12" s="49"/>
      <c r="B12" s="40"/>
      <c r="C12" s="41"/>
      <c r="D12" s="40" t="s">
        <v>28</v>
      </c>
      <c r="E12" s="40"/>
      <c r="F12" s="40"/>
      <c r="G12" s="40"/>
      <c r="H12" s="42" t="s">
        <v>26</v>
      </c>
      <c r="I12" s="40"/>
      <c r="J12" s="66"/>
      <c r="K12" s="67"/>
      <c r="L12" s="97">
        <f>Баланс_ресурсов!L7</f>
        <v>0</v>
      </c>
      <c r="M12" s="97">
        <f>Баланс_ресурсов!M7</f>
        <v>0</v>
      </c>
      <c r="N12" s="97">
        <f>Баланс_ресурсов!N7</f>
        <v>0</v>
      </c>
      <c r="O12" s="97">
        <f>Баланс_ресурсов!O7</f>
        <v>0</v>
      </c>
      <c r="P12" s="97">
        <f>Баланс_ресурсов!P7</f>
        <v>0</v>
      </c>
      <c r="Q12" s="97">
        <f>Баланс_ресурсов!Q7</f>
        <v>0</v>
      </c>
      <c r="R12" s="97">
        <f>Баланс_ресурсов!R7</f>
        <v>0</v>
      </c>
      <c r="S12" s="97">
        <f>Баланс_ресурсов!S7</f>
        <v>0</v>
      </c>
      <c r="T12" s="97">
        <f>Баланс_ресурсов!T7</f>
        <v>0</v>
      </c>
      <c r="U12" s="97">
        <f>Баланс_ресурсов!U7</f>
        <v>0</v>
      </c>
      <c r="V12" s="97">
        <f>Баланс_ресурсов!V7</f>
        <v>0</v>
      </c>
      <c r="W12" s="97">
        <f>Баланс_ресурсов!W7</f>
        <v>0</v>
      </c>
      <c r="X12" s="97">
        <f>Баланс_ресурсов!X7</f>
        <v>0</v>
      </c>
      <c r="Y12" s="97">
        <f>Баланс_ресурсов!Y7</f>
        <v>0</v>
      </c>
      <c r="Z12" s="97">
        <f>Баланс_ресурсов!Z7</f>
        <v>0</v>
      </c>
      <c r="AA12" s="97">
        <f>Баланс_ресурсов!AA7</f>
        <v>0</v>
      </c>
      <c r="AB12" s="97">
        <f>Баланс_ресурсов!AB7</f>
        <v>0</v>
      </c>
      <c r="AC12" s="97">
        <f>Баланс_ресурсов!AC7</f>
        <v>0</v>
      </c>
      <c r="AD12" s="97">
        <f>Баланс_ресурсов!AD7</f>
        <v>0</v>
      </c>
      <c r="AE12" s="97">
        <f>Баланс_ресурсов!AE7</f>
        <v>0</v>
      </c>
      <c r="AF12" s="97">
        <f>Баланс_ресурсов!AF7</f>
        <v>0</v>
      </c>
      <c r="AG12" s="97">
        <f>Баланс_ресурсов!AG7</f>
        <v>0</v>
      </c>
      <c r="AH12" s="97">
        <f>Баланс_ресурсов!AH7</f>
        <v>0</v>
      </c>
      <c r="AI12" s="97">
        <f>Баланс_ресурсов!AI7</f>
        <v>0</v>
      </c>
      <c r="AJ12" s="97">
        <f>Баланс_ресурсов!AJ7</f>
        <v>0</v>
      </c>
      <c r="AK12" s="104"/>
    </row>
    <row r="13" spans="1:37" s="47" customFormat="1">
      <c r="A13" s="49"/>
      <c r="B13" s="44"/>
      <c r="C13" s="45"/>
      <c r="D13" s="44" t="s">
        <v>29</v>
      </c>
      <c r="E13" s="44"/>
      <c r="F13" s="44"/>
      <c r="G13" s="44"/>
      <c r="H13" s="46" t="str">
        <f>"тыс. кВт*Ч / "&amp;H12</f>
        <v>тыс. кВт*Ч / тыс. куб. м.</v>
      </c>
      <c r="I13" s="44"/>
      <c r="J13" s="64"/>
      <c r="K13" s="65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104"/>
    </row>
    <row r="14" spans="1:37" s="43" customFormat="1">
      <c r="A14" s="49"/>
      <c r="B14" s="40"/>
      <c r="C14" s="41"/>
      <c r="D14" s="40" t="s">
        <v>30</v>
      </c>
      <c r="E14" s="40"/>
      <c r="F14" s="40"/>
      <c r="G14" s="40"/>
      <c r="H14" s="42" t="s">
        <v>32</v>
      </c>
      <c r="I14" s="40"/>
      <c r="J14" s="66"/>
      <c r="K14" s="67"/>
      <c r="L14" s="97">
        <f t="shared" ref="L14:AJ14" si="3">L50</f>
        <v>6.51</v>
      </c>
      <c r="M14" s="97">
        <f t="shared" si="3"/>
        <v>6.7704000000000004</v>
      </c>
      <c r="N14" s="97">
        <f t="shared" si="3"/>
        <v>7.0412160000000004</v>
      </c>
      <c r="O14" s="97">
        <f t="shared" si="3"/>
        <v>7.3228646400000006</v>
      </c>
      <c r="P14" s="97">
        <f t="shared" si="3"/>
        <v>7.6157792256000008</v>
      </c>
      <c r="Q14" s="97">
        <f t="shared" si="3"/>
        <v>7.9204103946240014</v>
      </c>
      <c r="R14" s="97">
        <f t="shared" si="3"/>
        <v>8.237226810408961</v>
      </c>
      <c r="S14" s="97">
        <f t="shared" si="3"/>
        <v>8.5667158828253189</v>
      </c>
      <c r="T14" s="97">
        <f t="shared" si="3"/>
        <v>8.9093845181383315</v>
      </c>
      <c r="U14" s="97">
        <f t="shared" si="3"/>
        <v>9.2657598988638643</v>
      </c>
      <c r="V14" s="97">
        <f t="shared" si="3"/>
        <v>9.636390294818419</v>
      </c>
      <c r="W14" s="97">
        <f t="shared" si="3"/>
        <v>10.021845906611157</v>
      </c>
      <c r="X14" s="97">
        <f t="shared" si="3"/>
        <v>10.422719742875604</v>
      </c>
      <c r="Y14" s="97">
        <f t="shared" si="3"/>
        <v>10.839628532590629</v>
      </c>
      <c r="Z14" s="97">
        <f t="shared" si="3"/>
        <v>11.273213673894254</v>
      </c>
      <c r="AA14" s="97">
        <f t="shared" si="3"/>
        <v>11.724142220850025</v>
      </c>
      <c r="AB14" s="97">
        <f t="shared" si="3"/>
        <v>12.193107909684027</v>
      </c>
      <c r="AC14" s="97">
        <f t="shared" si="3"/>
        <v>12.680832226071388</v>
      </c>
      <c r="AD14" s="97">
        <f t="shared" si="3"/>
        <v>13.188065515114245</v>
      </c>
      <c r="AE14" s="97">
        <f t="shared" si="3"/>
        <v>13.715588135718814</v>
      </c>
      <c r="AF14" s="97">
        <f t="shared" si="3"/>
        <v>14.264211661147568</v>
      </c>
      <c r="AG14" s="97">
        <f t="shared" si="3"/>
        <v>14.834780127593472</v>
      </c>
      <c r="AH14" s="97">
        <f t="shared" si="3"/>
        <v>15.428171332697211</v>
      </c>
      <c r="AI14" s="97">
        <f t="shared" si="3"/>
        <v>16.045298186005098</v>
      </c>
      <c r="AJ14" s="97">
        <f t="shared" si="3"/>
        <v>16.687110113445303</v>
      </c>
      <c r="AK14" s="104"/>
    </row>
    <row r="15" spans="1:37" s="47" customFormat="1">
      <c r="A15" s="49"/>
      <c r="B15" s="44"/>
      <c r="C15" s="45"/>
      <c r="D15" s="44" t="s">
        <v>36</v>
      </c>
      <c r="E15" s="44"/>
      <c r="F15" s="44"/>
      <c r="G15" s="44"/>
      <c r="H15" s="46" t="str">
        <f>"тыс. кг / "&amp;H12</f>
        <v>тыс. кг / тыс. куб. м.</v>
      </c>
      <c r="I15" s="44"/>
      <c r="J15" s="64"/>
      <c r="K15" s="65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104"/>
    </row>
    <row r="16" spans="1:37" s="43" customFormat="1">
      <c r="A16" s="49"/>
      <c r="B16" s="40"/>
      <c r="C16" s="41"/>
      <c r="D16" s="40" t="s">
        <v>37</v>
      </c>
      <c r="E16" s="40"/>
      <c r="F16" s="40"/>
      <c r="G16" s="40"/>
      <c r="H16" s="42" t="s">
        <v>33</v>
      </c>
      <c r="I16" s="40"/>
      <c r="J16" s="66"/>
      <c r="K16" s="67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104"/>
    </row>
    <row r="17" spans="1:37" s="47" customFormat="1">
      <c r="A17" s="49"/>
      <c r="B17" s="44"/>
      <c r="C17" s="45"/>
      <c r="D17" s="44" t="s">
        <v>34</v>
      </c>
      <c r="E17" s="44"/>
      <c r="F17" s="44"/>
      <c r="G17" s="44"/>
      <c r="H17" s="46" t="str">
        <f>H12</f>
        <v>тыс. куб. м.</v>
      </c>
      <c r="I17" s="44"/>
      <c r="J17" s="64"/>
      <c r="K17" s="65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104"/>
    </row>
    <row r="18" spans="1:37" s="43" customFormat="1">
      <c r="A18" s="49"/>
      <c r="B18" s="40"/>
      <c r="C18" s="41"/>
      <c r="D18" s="40" t="s">
        <v>31</v>
      </c>
      <c r="E18" s="40"/>
      <c r="F18" s="40"/>
      <c r="G18" s="40"/>
      <c r="H18" s="42" t="s">
        <v>39</v>
      </c>
      <c r="I18" s="40"/>
      <c r="J18" s="66"/>
      <c r="K18" s="67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104"/>
    </row>
    <row r="19" spans="1:37" s="47" customFormat="1">
      <c r="A19" s="49"/>
      <c r="B19" s="44"/>
      <c r="C19" s="45"/>
      <c r="D19" s="44" t="s">
        <v>43</v>
      </c>
      <c r="E19" s="44"/>
      <c r="F19" s="44"/>
      <c r="G19" s="44"/>
      <c r="H19" s="46" t="str">
        <f>H14</f>
        <v>руб. / кВт*Ч</v>
      </c>
      <c r="I19" s="44"/>
      <c r="J19" s="64"/>
      <c r="K19" s="65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104"/>
    </row>
    <row r="20" spans="1:37" s="54" customFormat="1">
      <c r="A20" s="49"/>
      <c r="B20" s="51"/>
      <c r="C20" s="52"/>
      <c r="D20" s="51" t="s">
        <v>44</v>
      </c>
      <c r="E20" s="51"/>
      <c r="F20" s="51"/>
      <c r="G20" s="51"/>
      <c r="H20" s="53" t="s">
        <v>39</v>
      </c>
      <c r="I20" s="51"/>
      <c r="J20" s="68"/>
      <c r="K20" s="6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4"/>
    </row>
    <row r="21" spans="1:37" s="32" customFormat="1">
      <c r="A21" s="34"/>
      <c r="C21" s="32" t="s">
        <v>12</v>
      </c>
      <c r="H21" s="55" t="s">
        <v>4</v>
      </c>
      <c r="J21" s="32">
        <f>SUM(L21:AJ21)</f>
        <v>0</v>
      </c>
      <c r="L21" s="32">
        <f>L22*(L23*L24+L25*L26)+L27*L28</f>
        <v>0</v>
      </c>
      <c r="M21" s="32">
        <f t="shared" ref="M21:AJ21" si="4">M22*(M23*M24+M25*M26)+M27*M28</f>
        <v>0</v>
      </c>
      <c r="N21" s="32">
        <f t="shared" si="4"/>
        <v>0</v>
      </c>
      <c r="O21" s="32">
        <f t="shared" si="4"/>
        <v>0</v>
      </c>
      <c r="P21" s="32">
        <f t="shared" si="4"/>
        <v>0</v>
      </c>
      <c r="Q21" s="32">
        <f t="shared" si="4"/>
        <v>0</v>
      </c>
      <c r="R21" s="32">
        <f t="shared" si="4"/>
        <v>0</v>
      </c>
      <c r="S21" s="32">
        <f t="shared" si="4"/>
        <v>0</v>
      </c>
      <c r="T21" s="32">
        <f t="shared" si="4"/>
        <v>0</v>
      </c>
      <c r="U21" s="32">
        <f t="shared" si="4"/>
        <v>0</v>
      </c>
      <c r="V21" s="32">
        <f t="shared" si="4"/>
        <v>0</v>
      </c>
      <c r="W21" s="32">
        <f t="shared" si="4"/>
        <v>0</v>
      </c>
      <c r="X21" s="32">
        <f t="shared" si="4"/>
        <v>0</v>
      </c>
      <c r="Y21" s="32">
        <f t="shared" si="4"/>
        <v>0</v>
      </c>
      <c r="Z21" s="32">
        <f t="shared" si="4"/>
        <v>0</v>
      </c>
      <c r="AA21" s="32">
        <f t="shared" si="4"/>
        <v>0</v>
      </c>
      <c r="AB21" s="32">
        <f t="shared" si="4"/>
        <v>0</v>
      </c>
      <c r="AC21" s="32">
        <f t="shared" si="4"/>
        <v>0</v>
      </c>
      <c r="AD21" s="32">
        <f t="shared" si="4"/>
        <v>0</v>
      </c>
      <c r="AE21" s="32">
        <f t="shared" si="4"/>
        <v>0</v>
      </c>
      <c r="AF21" s="32">
        <f t="shared" si="4"/>
        <v>0</v>
      </c>
      <c r="AG21" s="32">
        <f t="shared" si="4"/>
        <v>0</v>
      </c>
      <c r="AH21" s="32">
        <f t="shared" si="4"/>
        <v>0</v>
      </c>
      <c r="AI21" s="32">
        <f t="shared" si="4"/>
        <v>0</v>
      </c>
      <c r="AJ21" s="32">
        <f t="shared" si="4"/>
        <v>0</v>
      </c>
      <c r="AK21" s="103"/>
    </row>
    <row r="22" spans="1:37" s="43" customFormat="1">
      <c r="A22" s="49"/>
      <c r="B22" s="40"/>
      <c r="C22" s="41"/>
      <c r="D22" s="40" t="s">
        <v>45</v>
      </c>
      <c r="E22" s="40"/>
      <c r="F22" s="40"/>
      <c r="G22" s="40"/>
      <c r="H22" s="42" t="s">
        <v>26</v>
      </c>
      <c r="I22" s="40"/>
      <c r="J22" s="66"/>
      <c r="K22" s="67"/>
      <c r="L22" s="97">
        <f>Баланс_ресурсов!L12</f>
        <v>0</v>
      </c>
      <c r="M22" s="97">
        <f>Баланс_ресурсов!M12</f>
        <v>0</v>
      </c>
      <c r="N22" s="97">
        <f>Баланс_ресурсов!N12</f>
        <v>0</v>
      </c>
      <c r="O22" s="97">
        <f>Баланс_ресурсов!O12</f>
        <v>0</v>
      </c>
      <c r="P22" s="97">
        <f>Баланс_ресурсов!P12</f>
        <v>0</v>
      </c>
      <c r="Q22" s="97">
        <f>Баланс_ресурсов!Q12</f>
        <v>0</v>
      </c>
      <c r="R22" s="97">
        <f>Баланс_ресурсов!R12</f>
        <v>0</v>
      </c>
      <c r="S22" s="97">
        <f>Баланс_ресурсов!S12</f>
        <v>0</v>
      </c>
      <c r="T22" s="97">
        <f>Баланс_ресурсов!T12</f>
        <v>0</v>
      </c>
      <c r="U22" s="97">
        <f>Баланс_ресурсов!U12</f>
        <v>0</v>
      </c>
      <c r="V22" s="97">
        <f>Баланс_ресурсов!V12</f>
        <v>0</v>
      </c>
      <c r="W22" s="97">
        <f>Баланс_ресурсов!W12</f>
        <v>0</v>
      </c>
      <c r="X22" s="97">
        <f>Баланс_ресурсов!X12</f>
        <v>0</v>
      </c>
      <c r="Y22" s="97">
        <f>Баланс_ресурсов!Y12</f>
        <v>0</v>
      </c>
      <c r="Z22" s="97">
        <f>Баланс_ресурсов!Z12</f>
        <v>0</v>
      </c>
      <c r="AA22" s="97">
        <f>Баланс_ресурсов!AA12</f>
        <v>0</v>
      </c>
      <c r="AB22" s="97">
        <f>Баланс_ресурсов!AB12</f>
        <v>0</v>
      </c>
      <c r="AC22" s="97">
        <f>Баланс_ресурсов!AC12</f>
        <v>0</v>
      </c>
      <c r="AD22" s="97">
        <f>Баланс_ресурсов!AD12</f>
        <v>0</v>
      </c>
      <c r="AE22" s="97">
        <f>Баланс_ресурсов!AE12</f>
        <v>0</v>
      </c>
      <c r="AF22" s="97">
        <f>Баланс_ресурсов!AF12</f>
        <v>0</v>
      </c>
      <c r="AG22" s="97">
        <f>Баланс_ресурсов!AG12</f>
        <v>0</v>
      </c>
      <c r="AH22" s="97">
        <f>Баланс_ресурсов!AH12</f>
        <v>0</v>
      </c>
      <c r="AI22" s="97">
        <f>Баланс_ресурсов!AI12</f>
        <v>0</v>
      </c>
      <c r="AJ22" s="97">
        <f>Баланс_ресурсов!AJ12</f>
        <v>0</v>
      </c>
      <c r="AK22" s="104"/>
    </row>
    <row r="23" spans="1:37" s="47" customFormat="1">
      <c r="A23" s="49"/>
      <c r="B23" s="44"/>
      <c r="C23" s="45"/>
      <c r="D23" s="44" t="s">
        <v>29</v>
      </c>
      <c r="E23" s="44"/>
      <c r="F23" s="44"/>
      <c r="G23" s="44"/>
      <c r="H23" s="46" t="str">
        <f>"тыс. кВт*Ч / "&amp;H22</f>
        <v>тыс. кВт*Ч / тыс. куб. м.</v>
      </c>
      <c r="I23" s="44"/>
      <c r="J23" s="64"/>
      <c r="K23" s="65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104"/>
    </row>
    <row r="24" spans="1:37" s="43" customFormat="1">
      <c r="A24" s="49"/>
      <c r="B24" s="40"/>
      <c r="C24" s="41"/>
      <c r="D24" s="40" t="s">
        <v>30</v>
      </c>
      <c r="E24" s="40"/>
      <c r="F24" s="40"/>
      <c r="G24" s="40"/>
      <c r="H24" s="42" t="s">
        <v>32</v>
      </c>
      <c r="I24" s="40"/>
      <c r="J24" s="66"/>
      <c r="K24" s="67"/>
      <c r="L24" s="97">
        <f t="shared" ref="L24:AJ24" si="5">L50</f>
        <v>6.51</v>
      </c>
      <c r="M24" s="97">
        <f t="shared" si="5"/>
        <v>6.7704000000000004</v>
      </c>
      <c r="N24" s="97">
        <f t="shared" si="5"/>
        <v>7.0412160000000004</v>
      </c>
      <c r="O24" s="97">
        <f t="shared" si="5"/>
        <v>7.3228646400000006</v>
      </c>
      <c r="P24" s="97">
        <f t="shared" si="5"/>
        <v>7.6157792256000008</v>
      </c>
      <c r="Q24" s="97">
        <f t="shared" si="5"/>
        <v>7.9204103946240014</v>
      </c>
      <c r="R24" s="97">
        <f t="shared" si="5"/>
        <v>8.237226810408961</v>
      </c>
      <c r="S24" s="97">
        <f t="shared" si="5"/>
        <v>8.5667158828253189</v>
      </c>
      <c r="T24" s="97">
        <f t="shared" si="5"/>
        <v>8.9093845181383315</v>
      </c>
      <c r="U24" s="97">
        <f t="shared" si="5"/>
        <v>9.2657598988638643</v>
      </c>
      <c r="V24" s="97">
        <f t="shared" si="5"/>
        <v>9.636390294818419</v>
      </c>
      <c r="W24" s="97">
        <f t="shared" si="5"/>
        <v>10.021845906611157</v>
      </c>
      <c r="X24" s="97">
        <f t="shared" si="5"/>
        <v>10.422719742875604</v>
      </c>
      <c r="Y24" s="97">
        <f t="shared" si="5"/>
        <v>10.839628532590629</v>
      </c>
      <c r="Z24" s="97">
        <f t="shared" si="5"/>
        <v>11.273213673894254</v>
      </c>
      <c r="AA24" s="97">
        <f t="shared" si="5"/>
        <v>11.724142220850025</v>
      </c>
      <c r="AB24" s="97">
        <f t="shared" si="5"/>
        <v>12.193107909684027</v>
      </c>
      <c r="AC24" s="97">
        <f t="shared" si="5"/>
        <v>12.680832226071388</v>
      </c>
      <c r="AD24" s="97">
        <f t="shared" si="5"/>
        <v>13.188065515114245</v>
      </c>
      <c r="AE24" s="97">
        <f t="shared" si="5"/>
        <v>13.715588135718814</v>
      </c>
      <c r="AF24" s="97">
        <f t="shared" si="5"/>
        <v>14.264211661147568</v>
      </c>
      <c r="AG24" s="97">
        <f t="shared" si="5"/>
        <v>14.834780127593472</v>
      </c>
      <c r="AH24" s="97">
        <f t="shared" si="5"/>
        <v>15.428171332697211</v>
      </c>
      <c r="AI24" s="97">
        <f t="shared" si="5"/>
        <v>16.045298186005098</v>
      </c>
      <c r="AJ24" s="97">
        <f t="shared" si="5"/>
        <v>16.687110113445303</v>
      </c>
      <c r="AK24" s="104"/>
    </row>
    <row r="25" spans="1:37" s="47" customFormat="1">
      <c r="A25" s="49"/>
      <c r="B25" s="44"/>
      <c r="C25" s="45"/>
      <c r="D25" s="44" t="s">
        <v>36</v>
      </c>
      <c r="E25" s="44"/>
      <c r="F25" s="44"/>
      <c r="G25" s="44"/>
      <c r="H25" s="46" t="str">
        <f>"тыс. кг / "&amp;H22</f>
        <v>тыс. кг / тыс. куб. м.</v>
      </c>
      <c r="I25" s="44"/>
      <c r="J25" s="64"/>
      <c r="K25" s="65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104"/>
    </row>
    <row r="26" spans="1:37" s="43" customFormat="1">
      <c r="A26" s="49"/>
      <c r="B26" s="40"/>
      <c r="C26" s="41"/>
      <c r="D26" s="40" t="s">
        <v>37</v>
      </c>
      <c r="E26" s="40"/>
      <c r="F26" s="40"/>
      <c r="G26" s="40"/>
      <c r="H26" s="42" t="s">
        <v>33</v>
      </c>
      <c r="I26" s="40"/>
      <c r="J26" s="66"/>
      <c r="K26" s="67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04"/>
    </row>
    <row r="27" spans="1:37" s="47" customFormat="1">
      <c r="A27" s="49"/>
      <c r="B27" s="44"/>
      <c r="C27" s="45"/>
      <c r="D27" s="44" t="s">
        <v>46</v>
      </c>
      <c r="E27" s="44"/>
      <c r="F27" s="44"/>
      <c r="G27" s="44"/>
      <c r="H27" s="46" t="str">
        <f>H22</f>
        <v>тыс. куб. м.</v>
      </c>
      <c r="I27" s="44"/>
      <c r="J27" s="64"/>
      <c r="K27" s="65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104"/>
    </row>
    <row r="28" spans="1:37" s="54" customFormat="1">
      <c r="A28" s="49"/>
      <c r="B28" s="51"/>
      <c r="C28" s="52"/>
      <c r="D28" s="51" t="s">
        <v>47</v>
      </c>
      <c r="E28" s="51"/>
      <c r="F28" s="51"/>
      <c r="G28" s="51"/>
      <c r="H28" s="53" t="s">
        <v>39</v>
      </c>
      <c r="I28" s="51"/>
      <c r="J28" s="68"/>
      <c r="K28" s="69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4"/>
    </row>
    <row r="29" spans="1:37" s="32" customFormat="1">
      <c r="A29" s="34"/>
      <c r="C29" s="32" t="s">
        <v>13</v>
      </c>
      <c r="H29" s="55" t="s">
        <v>4</v>
      </c>
      <c r="J29" s="32">
        <f>SUM(L29:AJ29)</f>
        <v>6059913.4510831218</v>
      </c>
      <c r="L29" s="32">
        <f>L30*(L31*L32+L33*L34)+L35*L36+L37*L38</f>
        <v>270691.68659986561</v>
      </c>
      <c r="M29" s="32">
        <f t="shared" ref="M29:AJ29" si="6">M30*(M31*M32+M33*M34)+M35*M36+M37*M38</f>
        <v>278913.62119786162</v>
      </c>
      <c r="N29" s="32">
        <f t="shared" si="6"/>
        <v>287386.26119379752</v>
      </c>
      <c r="O29" s="32">
        <f t="shared" si="6"/>
        <v>296117.28964401141</v>
      </c>
      <c r="P29" s="32">
        <f t="shared" si="6"/>
        <v>305114.62657230778</v>
      </c>
      <c r="Q29" s="32">
        <f t="shared" si="6"/>
        <v>314386.43633801205</v>
      </c>
      <c r="R29" s="32">
        <f t="shared" si="6"/>
        <v>323941.13523542887</v>
      </c>
      <c r="S29" s="32">
        <f t="shared" si="6"/>
        <v>333787.39933205926</v>
      </c>
      <c r="T29" s="32">
        <f t="shared" si="6"/>
        <v>343934.17255317123</v>
      </c>
      <c r="U29" s="32">
        <f t="shared" si="6"/>
        <v>354390.67502056254</v>
      </c>
      <c r="V29" s="32">
        <f t="shared" si="6"/>
        <v>365166.4116536075</v>
      </c>
      <c r="W29" s="32">
        <f t="shared" si="6"/>
        <v>376271.18104094092</v>
      </c>
      <c r="X29" s="32">
        <f t="shared" si="6"/>
        <v>387715.08459140337</v>
      </c>
      <c r="Y29" s="32">
        <f t="shared" si="6"/>
        <v>399508.53597314894</v>
      </c>
      <c r="Z29" s="32">
        <f t="shared" si="6"/>
        <v>411662.27085010713</v>
      </c>
      <c r="AA29" s="32">
        <f t="shared" si="6"/>
        <v>424187.35692528461</v>
      </c>
      <c r="AB29" s="32">
        <f t="shared" si="6"/>
        <v>56964.630788033144</v>
      </c>
      <c r="AC29" s="32">
        <f t="shared" si="6"/>
        <v>58863.085446041805</v>
      </c>
      <c r="AD29" s="32">
        <f t="shared" si="6"/>
        <v>60826.074373165422</v>
      </c>
      <c r="AE29" s="32">
        <f t="shared" si="6"/>
        <v>62855.836822652447</v>
      </c>
      <c r="AF29" s="32">
        <f t="shared" si="6"/>
        <v>64954.69135435576</v>
      </c>
      <c r="AG29" s="32">
        <f t="shared" si="6"/>
        <v>67125.03869909115</v>
      </c>
      <c r="AH29" s="32">
        <f t="shared" si="6"/>
        <v>69369.364728332759</v>
      </c>
      <c r="AI29" s="32">
        <f t="shared" si="6"/>
        <v>71690.24353318238</v>
      </c>
      <c r="AJ29" s="32">
        <f t="shared" si="6"/>
        <v>74090.340616697475</v>
      </c>
      <c r="AK29" s="103"/>
    </row>
    <row r="30" spans="1:37" s="43" customFormat="1">
      <c r="A30" s="49"/>
      <c r="B30" s="40"/>
      <c r="C30" s="41"/>
      <c r="D30" s="40" t="s">
        <v>45</v>
      </c>
      <c r="E30" s="40"/>
      <c r="F30" s="40"/>
      <c r="G30" s="40"/>
      <c r="H30" s="42" t="s">
        <v>52</v>
      </c>
      <c r="I30" s="40"/>
      <c r="J30" s="66"/>
      <c r="K30" s="67"/>
      <c r="L30" s="97">
        <f>Баланс_ресурсов!L14</f>
        <v>220</v>
      </c>
      <c r="M30" s="97">
        <f>Баланс_ресурсов!M14</f>
        <v>220</v>
      </c>
      <c r="N30" s="97">
        <f>Баланс_ресурсов!N14</f>
        <v>220</v>
      </c>
      <c r="O30" s="97">
        <f>Баланс_ресурсов!O14</f>
        <v>220</v>
      </c>
      <c r="P30" s="97">
        <f>Баланс_ресурсов!P14</f>
        <v>220</v>
      </c>
      <c r="Q30" s="97">
        <f>Баланс_ресурсов!Q14</f>
        <v>220</v>
      </c>
      <c r="R30" s="97">
        <f>Баланс_ресурсов!R14</f>
        <v>220</v>
      </c>
      <c r="S30" s="97">
        <f>Баланс_ресурсов!S14</f>
        <v>220</v>
      </c>
      <c r="T30" s="97">
        <f>Баланс_ресурсов!T14</f>
        <v>220</v>
      </c>
      <c r="U30" s="97">
        <f>Баланс_ресурсов!U14</f>
        <v>220</v>
      </c>
      <c r="V30" s="97">
        <f>Баланс_ресурсов!V14</f>
        <v>220</v>
      </c>
      <c r="W30" s="97">
        <f>Баланс_ресурсов!W14</f>
        <v>220</v>
      </c>
      <c r="X30" s="97">
        <f>Баланс_ресурсов!X14</f>
        <v>220</v>
      </c>
      <c r="Y30" s="97">
        <f>Баланс_ресурсов!Y14</f>
        <v>220</v>
      </c>
      <c r="Z30" s="97">
        <f>Баланс_ресурсов!Z14</f>
        <v>220</v>
      </c>
      <c r="AA30" s="97">
        <f>Баланс_ресурсов!AA14</f>
        <v>220</v>
      </c>
      <c r="AB30" s="97">
        <f>Баланс_ресурсов!AB14</f>
        <v>20</v>
      </c>
      <c r="AC30" s="97">
        <f>Баланс_ресурсов!AC14</f>
        <v>20</v>
      </c>
      <c r="AD30" s="97">
        <f>Баланс_ресурсов!AD14</f>
        <v>20</v>
      </c>
      <c r="AE30" s="97">
        <f>Баланс_ресурсов!AE14</f>
        <v>20</v>
      </c>
      <c r="AF30" s="97">
        <f>Баланс_ресурсов!AF14</f>
        <v>20</v>
      </c>
      <c r="AG30" s="97">
        <f>Баланс_ресурсов!AG14</f>
        <v>20</v>
      </c>
      <c r="AH30" s="97">
        <f>Баланс_ресурсов!AH14</f>
        <v>20</v>
      </c>
      <c r="AI30" s="97">
        <f>Баланс_ресурсов!AI14</f>
        <v>20</v>
      </c>
      <c r="AJ30" s="97">
        <f>Баланс_ресурсов!AJ14</f>
        <v>20</v>
      </c>
      <c r="AK30" s="104"/>
    </row>
    <row r="31" spans="1:37" s="47" customFormat="1">
      <c r="A31" s="49"/>
      <c r="B31" s="44"/>
      <c r="C31" s="45"/>
      <c r="D31" s="44" t="s">
        <v>29</v>
      </c>
      <c r="E31" s="44"/>
      <c r="F31" s="44"/>
      <c r="G31" s="44"/>
      <c r="H31" s="46" t="str">
        <f>"тыс. кВт*Ч / "&amp;H30</f>
        <v>тыс. кВт*Ч / тыс. Гкал</v>
      </c>
      <c r="I31" s="44"/>
      <c r="J31" s="64"/>
      <c r="K31" s="65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104"/>
    </row>
    <row r="32" spans="1:37" s="43" customFormat="1">
      <c r="A32" s="49"/>
      <c r="B32" s="40"/>
      <c r="C32" s="41"/>
      <c r="D32" s="40" t="s">
        <v>30</v>
      </c>
      <c r="E32" s="40"/>
      <c r="F32" s="40"/>
      <c r="G32" s="40"/>
      <c r="H32" s="42" t="s">
        <v>32</v>
      </c>
      <c r="I32" s="40"/>
      <c r="J32" s="66"/>
      <c r="K32" s="67"/>
      <c r="L32" s="97"/>
      <c r="M32" s="97">
        <f t="shared" ref="M32:AJ32" si="7">M50</f>
        <v>6.7704000000000004</v>
      </c>
      <c r="N32" s="97">
        <f t="shared" si="7"/>
        <v>7.0412160000000004</v>
      </c>
      <c r="O32" s="97">
        <f t="shared" si="7"/>
        <v>7.3228646400000006</v>
      </c>
      <c r="P32" s="97">
        <f t="shared" si="7"/>
        <v>7.6157792256000008</v>
      </c>
      <c r="Q32" s="97">
        <f t="shared" si="7"/>
        <v>7.9204103946240014</v>
      </c>
      <c r="R32" s="97">
        <f t="shared" si="7"/>
        <v>8.237226810408961</v>
      </c>
      <c r="S32" s="97">
        <f t="shared" si="7"/>
        <v>8.5667158828253189</v>
      </c>
      <c r="T32" s="97">
        <f t="shared" si="7"/>
        <v>8.9093845181383315</v>
      </c>
      <c r="U32" s="97">
        <f t="shared" si="7"/>
        <v>9.2657598988638643</v>
      </c>
      <c r="V32" s="97">
        <f t="shared" si="7"/>
        <v>9.636390294818419</v>
      </c>
      <c r="W32" s="97">
        <f t="shared" si="7"/>
        <v>10.021845906611157</v>
      </c>
      <c r="X32" s="97">
        <f t="shared" si="7"/>
        <v>10.422719742875604</v>
      </c>
      <c r="Y32" s="97">
        <f t="shared" si="7"/>
        <v>10.839628532590629</v>
      </c>
      <c r="Z32" s="97">
        <f t="shared" si="7"/>
        <v>11.273213673894254</v>
      </c>
      <c r="AA32" s="97">
        <f t="shared" si="7"/>
        <v>11.724142220850025</v>
      </c>
      <c r="AB32" s="97">
        <f t="shared" si="7"/>
        <v>12.193107909684027</v>
      </c>
      <c r="AC32" s="97">
        <f t="shared" si="7"/>
        <v>12.680832226071388</v>
      </c>
      <c r="AD32" s="97">
        <f t="shared" si="7"/>
        <v>13.188065515114245</v>
      </c>
      <c r="AE32" s="97">
        <f t="shared" si="7"/>
        <v>13.715588135718814</v>
      </c>
      <c r="AF32" s="97">
        <f t="shared" si="7"/>
        <v>14.264211661147568</v>
      </c>
      <c r="AG32" s="97">
        <f t="shared" si="7"/>
        <v>14.834780127593472</v>
      </c>
      <c r="AH32" s="97">
        <f t="shared" si="7"/>
        <v>15.428171332697211</v>
      </c>
      <c r="AI32" s="97">
        <f t="shared" si="7"/>
        <v>16.045298186005098</v>
      </c>
      <c r="AJ32" s="97">
        <f t="shared" si="7"/>
        <v>16.687110113445303</v>
      </c>
      <c r="AK32" s="104"/>
    </row>
    <row r="33" spans="1:37" s="47" customFormat="1">
      <c r="A33" s="49"/>
      <c r="B33" s="44"/>
      <c r="C33" s="45"/>
      <c r="D33" s="44" t="s">
        <v>54</v>
      </c>
      <c r="E33" s="44"/>
      <c r="F33" s="44"/>
      <c r="G33" s="44"/>
      <c r="H33" s="46" t="str">
        <f>"тыс. тут. / "&amp;H30</f>
        <v>тыс. тут. / тыс. Гкал</v>
      </c>
      <c r="I33" s="44"/>
      <c r="J33" s="64"/>
      <c r="K33" s="65"/>
      <c r="L33" s="93">
        <v>170</v>
      </c>
      <c r="M33" s="93">
        <f>L33</f>
        <v>170</v>
      </c>
      <c r="N33" s="93">
        <f t="shared" ref="N33:AJ33" si="8">M33</f>
        <v>170</v>
      </c>
      <c r="O33" s="93">
        <f t="shared" si="8"/>
        <v>170</v>
      </c>
      <c r="P33" s="93">
        <f t="shared" si="8"/>
        <v>170</v>
      </c>
      <c r="Q33" s="93">
        <f t="shared" si="8"/>
        <v>170</v>
      </c>
      <c r="R33" s="93">
        <f t="shared" si="8"/>
        <v>170</v>
      </c>
      <c r="S33" s="93">
        <f t="shared" si="8"/>
        <v>170</v>
      </c>
      <c r="T33" s="93">
        <f t="shared" si="8"/>
        <v>170</v>
      </c>
      <c r="U33" s="93">
        <f t="shared" si="8"/>
        <v>170</v>
      </c>
      <c r="V33" s="93">
        <f t="shared" si="8"/>
        <v>170</v>
      </c>
      <c r="W33" s="93">
        <f t="shared" si="8"/>
        <v>170</v>
      </c>
      <c r="X33" s="93">
        <f t="shared" si="8"/>
        <v>170</v>
      </c>
      <c r="Y33" s="93">
        <f t="shared" si="8"/>
        <v>170</v>
      </c>
      <c r="Z33" s="93">
        <f t="shared" si="8"/>
        <v>170</v>
      </c>
      <c r="AA33" s="93">
        <f t="shared" si="8"/>
        <v>170</v>
      </c>
      <c r="AB33" s="93">
        <f t="shared" si="8"/>
        <v>170</v>
      </c>
      <c r="AC33" s="93">
        <f t="shared" si="8"/>
        <v>170</v>
      </c>
      <c r="AD33" s="93">
        <f t="shared" si="8"/>
        <v>170</v>
      </c>
      <c r="AE33" s="93">
        <f t="shared" si="8"/>
        <v>170</v>
      </c>
      <c r="AF33" s="93">
        <f t="shared" si="8"/>
        <v>170</v>
      </c>
      <c r="AG33" s="93">
        <f t="shared" si="8"/>
        <v>170</v>
      </c>
      <c r="AH33" s="93">
        <f t="shared" si="8"/>
        <v>170</v>
      </c>
      <c r="AI33" s="93">
        <f t="shared" si="8"/>
        <v>170</v>
      </c>
      <c r="AJ33" s="93">
        <f t="shared" si="8"/>
        <v>170</v>
      </c>
      <c r="AK33" s="104"/>
    </row>
    <row r="34" spans="1:37" s="43" customFormat="1">
      <c r="A34" s="49"/>
      <c r="B34" s="40"/>
      <c r="C34" s="41"/>
      <c r="D34" s="40" t="s">
        <v>55</v>
      </c>
      <c r="E34" s="40"/>
      <c r="F34" s="40"/>
      <c r="G34" s="40"/>
      <c r="H34" s="42" t="s">
        <v>56</v>
      </c>
      <c r="I34" s="40"/>
      <c r="J34" s="66"/>
      <c r="K34" s="67"/>
      <c r="L34" s="105">
        <v>6.9672001764669957</v>
      </c>
      <c r="M34" s="99">
        <f>L34*1.03</f>
        <v>7.1762161817610055</v>
      </c>
      <c r="N34" s="99">
        <f t="shared" ref="N34:AJ34" si="9">M34*1.03</f>
        <v>7.3915026672138362</v>
      </c>
      <c r="O34" s="99">
        <f t="shared" si="9"/>
        <v>7.6132477472302513</v>
      </c>
      <c r="P34" s="99">
        <f t="shared" si="9"/>
        <v>7.8416451796471591</v>
      </c>
      <c r="Q34" s="99">
        <f t="shared" si="9"/>
        <v>8.0768945350365744</v>
      </c>
      <c r="R34" s="99">
        <f t="shared" si="9"/>
        <v>8.3192013710876722</v>
      </c>
      <c r="S34" s="99">
        <f t="shared" si="9"/>
        <v>8.5687774122203031</v>
      </c>
      <c r="T34" s="99">
        <f t="shared" si="9"/>
        <v>8.8258407345869117</v>
      </c>
      <c r="U34" s="99">
        <f t="shared" si="9"/>
        <v>9.0906159566245197</v>
      </c>
      <c r="V34" s="99">
        <f t="shared" si="9"/>
        <v>9.3633344353232548</v>
      </c>
      <c r="W34" s="99">
        <f t="shared" si="9"/>
        <v>9.6442344683829528</v>
      </c>
      <c r="X34" s="99">
        <f t="shared" si="9"/>
        <v>9.9335615024344417</v>
      </c>
      <c r="Y34" s="99">
        <f t="shared" si="9"/>
        <v>10.231568347507475</v>
      </c>
      <c r="Z34" s="99">
        <f t="shared" si="9"/>
        <v>10.538515397932699</v>
      </c>
      <c r="AA34" s="99">
        <f t="shared" si="9"/>
        <v>10.85467085987068</v>
      </c>
      <c r="AB34" s="99">
        <f t="shared" si="9"/>
        <v>11.1803109856668</v>
      </c>
      <c r="AC34" s="99">
        <f t="shared" si="9"/>
        <v>11.515720315236804</v>
      </c>
      <c r="AD34" s="99">
        <f t="shared" si="9"/>
        <v>11.861191924693909</v>
      </c>
      <c r="AE34" s="99">
        <f t="shared" si="9"/>
        <v>12.217027682434727</v>
      </c>
      <c r="AF34" s="99">
        <f t="shared" si="9"/>
        <v>12.583538512907769</v>
      </c>
      <c r="AG34" s="99">
        <f t="shared" si="9"/>
        <v>12.961044668295003</v>
      </c>
      <c r="AH34" s="99">
        <f t="shared" si="9"/>
        <v>13.349876008343854</v>
      </c>
      <c r="AI34" s="99">
        <f t="shared" si="9"/>
        <v>13.750372288594169</v>
      </c>
      <c r="AJ34" s="99">
        <f t="shared" si="9"/>
        <v>14.162883457251995</v>
      </c>
      <c r="AK34" s="104"/>
    </row>
    <row r="35" spans="1:37" s="47" customFormat="1">
      <c r="A35" s="49"/>
      <c r="B35" s="44"/>
      <c r="C35" s="45"/>
      <c r="D35" s="44" t="s">
        <v>123</v>
      </c>
      <c r="E35" s="44"/>
      <c r="F35" s="44"/>
      <c r="G35" s="44"/>
      <c r="H35" s="46" t="s">
        <v>124</v>
      </c>
      <c r="I35" s="44"/>
      <c r="J35" s="64"/>
      <c r="K35" s="65"/>
      <c r="L35" s="93">
        <v>1240</v>
      </c>
      <c r="M35" s="93">
        <f>L35</f>
        <v>1240</v>
      </c>
      <c r="N35" s="93">
        <f t="shared" ref="N35:AJ35" si="10">M35</f>
        <v>1240</v>
      </c>
      <c r="O35" s="93">
        <f t="shared" si="10"/>
        <v>1240</v>
      </c>
      <c r="P35" s="93">
        <f t="shared" si="10"/>
        <v>1240</v>
      </c>
      <c r="Q35" s="93">
        <f t="shared" si="10"/>
        <v>1240</v>
      </c>
      <c r="R35" s="93">
        <f t="shared" si="10"/>
        <v>1240</v>
      </c>
      <c r="S35" s="93">
        <f t="shared" si="10"/>
        <v>1240</v>
      </c>
      <c r="T35" s="93">
        <f t="shared" si="10"/>
        <v>1240</v>
      </c>
      <c r="U35" s="93">
        <f t="shared" si="10"/>
        <v>1240</v>
      </c>
      <c r="V35" s="93">
        <f t="shared" si="10"/>
        <v>1240</v>
      </c>
      <c r="W35" s="93">
        <f t="shared" si="10"/>
        <v>1240</v>
      </c>
      <c r="X35" s="93">
        <f t="shared" si="10"/>
        <v>1240</v>
      </c>
      <c r="Y35" s="93">
        <f t="shared" si="10"/>
        <v>1240</v>
      </c>
      <c r="Z35" s="93">
        <f t="shared" si="10"/>
        <v>1240</v>
      </c>
      <c r="AA35" s="93">
        <f t="shared" si="10"/>
        <v>1240</v>
      </c>
      <c r="AB35" s="93">
        <f t="shared" si="10"/>
        <v>1240</v>
      </c>
      <c r="AC35" s="93">
        <f t="shared" si="10"/>
        <v>1240</v>
      </c>
      <c r="AD35" s="93">
        <f t="shared" si="10"/>
        <v>1240</v>
      </c>
      <c r="AE35" s="93">
        <f t="shared" si="10"/>
        <v>1240</v>
      </c>
      <c r="AF35" s="93">
        <f t="shared" si="10"/>
        <v>1240</v>
      </c>
      <c r="AG35" s="93">
        <f t="shared" si="10"/>
        <v>1240</v>
      </c>
      <c r="AH35" s="93">
        <f t="shared" si="10"/>
        <v>1240</v>
      </c>
      <c r="AI35" s="93">
        <f t="shared" si="10"/>
        <v>1240</v>
      </c>
      <c r="AJ35" s="93">
        <f t="shared" si="10"/>
        <v>1240</v>
      </c>
      <c r="AK35" s="104"/>
    </row>
    <row r="36" spans="1:37" s="43" customFormat="1">
      <c r="A36" s="49"/>
      <c r="B36" s="40"/>
      <c r="C36" s="41"/>
      <c r="D36" s="40" t="s">
        <v>57</v>
      </c>
      <c r="E36" s="40"/>
      <c r="F36" s="40"/>
      <c r="G36" s="40"/>
      <c r="H36" s="42" t="s">
        <v>39</v>
      </c>
      <c r="I36" s="40"/>
      <c r="J36" s="66"/>
      <c r="K36" s="67"/>
      <c r="L36" s="99">
        <v>8.16</v>
      </c>
      <c r="M36" s="99">
        <f>L36*1.04</f>
        <v>8.4863999999999997</v>
      </c>
      <c r="N36" s="99">
        <f t="shared" ref="N36:AJ36" si="11">M36*1.04</f>
        <v>8.8258559999999999</v>
      </c>
      <c r="O36" s="99">
        <f t="shared" si="11"/>
        <v>9.1788902399999994</v>
      </c>
      <c r="P36" s="99">
        <f t="shared" si="11"/>
        <v>9.5460458496000005</v>
      </c>
      <c r="Q36" s="99">
        <f t="shared" si="11"/>
        <v>9.9278876835840002</v>
      </c>
      <c r="R36" s="99">
        <f t="shared" si="11"/>
        <v>10.32500319092736</v>
      </c>
      <c r="S36" s="99">
        <f t="shared" si="11"/>
        <v>10.738003318564454</v>
      </c>
      <c r="T36" s="99">
        <f t="shared" si="11"/>
        <v>11.167523451307032</v>
      </c>
      <c r="U36" s="99">
        <f t="shared" si="11"/>
        <v>11.614224389359313</v>
      </c>
      <c r="V36" s="99">
        <f t="shared" si="11"/>
        <v>12.078793364933686</v>
      </c>
      <c r="W36" s="99">
        <f t="shared" si="11"/>
        <v>12.561945099531034</v>
      </c>
      <c r="X36" s="99">
        <f t="shared" si="11"/>
        <v>13.064422903512275</v>
      </c>
      <c r="Y36" s="99">
        <f t="shared" si="11"/>
        <v>13.586999819652767</v>
      </c>
      <c r="Z36" s="99">
        <f t="shared" si="11"/>
        <v>14.130479812438878</v>
      </c>
      <c r="AA36" s="99">
        <f t="shared" si="11"/>
        <v>14.695699004936435</v>
      </c>
      <c r="AB36" s="99">
        <f t="shared" si="11"/>
        <v>15.283526965133893</v>
      </c>
      <c r="AC36" s="99">
        <f t="shared" si="11"/>
        <v>15.894868043739249</v>
      </c>
      <c r="AD36" s="99">
        <f t="shared" si="11"/>
        <v>16.53066276548882</v>
      </c>
      <c r="AE36" s="99">
        <f t="shared" si="11"/>
        <v>17.191889276108373</v>
      </c>
      <c r="AF36" s="99">
        <f t="shared" si="11"/>
        <v>17.879564847152707</v>
      </c>
      <c r="AG36" s="99">
        <f t="shared" si="11"/>
        <v>18.594747441038816</v>
      </c>
      <c r="AH36" s="99">
        <f t="shared" si="11"/>
        <v>19.338537338680368</v>
      </c>
      <c r="AI36" s="99">
        <f t="shared" si="11"/>
        <v>20.112078832227585</v>
      </c>
      <c r="AJ36" s="99">
        <f t="shared" si="11"/>
        <v>20.91656198551669</v>
      </c>
      <c r="AK36" s="104"/>
    </row>
    <row r="37" spans="1:37" s="47" customFormat="1">
      <c r="A37" s="49"/>
      <c r="B37" s="44"/>
      <c r="C37" s="45"/>
      <c r="D37" s="44" t="s">
        <v>67</v>
      </c>
      <c r="E37" s="44"/>
      <c r="F37" s="44"/>
      <c r="G37" s="44"/>
      <c r="H37" s="46" t="s">
        <v>52</v>
      </c>
      <c r="I37" s="44"/>
      <c r="J37" s="64"/>
      <c r="K37" s="65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04"/>
    </row>
    <row r="38" spans="1:37" s="43" customFormat="1">
      <c r="A38" s="49"/>
      <c r="B38" s="40"/>
      <c r="C38" s="41"/>
      <c r="D38" s="40" t="s">
        <v>68</v>
      </c>
      <c r="E38" s="40"/>
      <c r="F38" s="40"/>
      <c r="G38" s="40"/>
      <c r="H38" s="42" t="s">
        <v>69</v>
      </c>
      <c r="I38" s="40"/>
      <c r="J38" s="66"/>
      <c r="K38" s="67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104"/>
    </row>
    <row r="39" spans="1:37" s="13" customFormat="1">
      <c r="A39" s="49"/>
      <c r="B39" s="6" t="s">
        <v>38</v>
      </c>
      <c r="C39" s="6"/>
      <c r="D39" s="12"/>
      <c r="E39" s="12"/>
      <c r="F39" s="12"/>
      <c r="G39" s="12"/>
      <c r="H39" s="1" t="s">
        <v>4</v>
      </c>
      <c r="I39" s="12"/>
      <c r="J39" s="61">
        <f>SUM(L39:AJ39)</f>
        <v>0</v>
      </c>
      <c r="K39" s="62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104"/>
    </row>
    <row r="40" spans="1:37" s="13" customFormat="1">
      <c r="A40" s="49"/>
      <c r="B40" s="6" t="s">
        <v>40</v>
      </c>
      <c r="C40" s="6"/>
      <c r="D40" s="12"/>
      <c r="E40" s="12"/>
      <c r="F40" s="12"/>
      <c r="G40" s="12"/>
      <c r="H40" s="1" t="s">
        <v>4</v>
      </c>
      <c r="I40" s="12"/>
      <c r="J40" s="61">
        <f>SUM(L40:AJ40)</f>
        <v>0</v>
      </c>
      <c r="K40" s="62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104"/>
    </row>
    <row r="41" spans="1:37" s="13" customFormat="1">
      <c r="A41" s="49"/>
      <c r="B41" s="6" t="s">
        <v>35</v>
      </c>
      <c r="C41" s="6"/>
      <c r="D41" s="12"/>
      <c r="E41" s="12"/>
      <c r="F41" s="12"/>
      <c r="G41" s="12"/>
      <c r="H41" s="1" t="s">
        <v>4</v>
      </c>
      <c r="I41" s="12"/>
      <c r="J41" s="61">
        <f>SUM(L41:AJ41)</f>
        <v>1457606.7900514926</v>
      </c>
      <c r="K41" s="62"/>
      <c r="L41" s="78">
        <v>35000</v>
      </c>
      <c r="M41" s="78">
        <f>L41*1.04</f>
        <v>36400</v>
      </c>
      <c r="N41" s="78">
        <f t="shared" ref="N41:AJ42" si="12">M41*1.04</f>
        <v>37856</v>
      </c>
      <c r="O41" s="78">
        <f t="shared" si="12"/>
        <v>39370.239999999998</v>
      </c>
      <c r="P41" s="78">
        <f t="shared" si="12"/>
        <v>40945.049599999998</v>
      </c>
      <c r="Q41" s="78">
        <f t="shared" si="12"/>
        <v>42582.851583999996</v>
      </c>
      <c r="R41" s="78">
        <f t="shared" si="12"/>
        <v>44286.165647359994</v>
      </c>
      <c r="S41" s="78">
        <f t="shared" si="12"/>
        <v>46057.612273254395</v>
      </c>
      <c r="T41" s="78">
        <f t="shared" si="12"/>
        <v>47899.916764184571</v>
      </c>
      <c r="U41" s="78">
        <f t="shared" si="12"/>
        <v>49815.913434751958</v>
      </c>
      <c r="V41" s="78">
        <f t="shared" si="12"/>
        <v>51808.549972142035</v>
      </c>
      <c r="W41" s="78">
        <f t="shared" si="12"/>
        <v>53880.891971027719</v>
      </c>
      <c r="X41" s="78">
        <f t="shared" si="12"/>
        <v>56036.127649868831</v>
      </c>
      <c r="Y41" s="78">
        <f t="shared" si="12"/>
        <v>58277.572755863584</v>
      </c>
      <c r="Z41" s="78">
        <f t="shared" si="12"/>
        <v>60608.675666098126</v>
      </c>
      <c r="AA41" s="78">
        <f t="shared" si="12"/>
        <v>63033.022692742052</v>
      </c>
      <c r="AB41" s="78">
        <f t="shared" si="12"/>
        <v>65554.343600451743</v>
      </c>
      <c r="AC41" s="78">
        <f t="shared" si="12"/>
        <v>68176.517344469816</v>
      </c>
      <c r="AD41" s="78">
        <f t="shared" si="12"/>
        <v>70903.578038248612</v>
      </c>
      <c r="AE41" s="78">
        <f t="shared" si="12"/>
        <v>73739.721159778564</v>
      </c>
      <c r="AF41" s="78">
        <f t="shared" si="12"/>
        <v>76689.310006169704</v>
      </c>
      <c r="AG41" s="78">
        <f t="shared" si="12"/>
        <v>79756.882406416495</v>
      </c>
      <c r="AH41" s="78">
        <f t="shared" si="12"/>
        <v>82947.157702673154</v>
      </c>
      <c r="AI41" s="78">
        <f t="shared" si="12"/>
        <v>86265.044010780082</v>
      </c>
      <c r="AJ41" s="78">
        <f t="shared" si="12"/>
        <v>89715.64577121129</v>
      </c>
      <c r="AK41" s="104"/>
    </row>
    <row r="42" spans="1:37" s="13" customFormat="1">
      <c r="A42" s="49"/>
      <c r="B42" s="6" t="s">
        <v>41</v>
      </c>
      <c r="C42" s="6"/>
      <c r="D42" s="12"/>
      <c r="E42" s="12"/>
      <c r="F42" s="12"/>
      <c r="G42" s="12"/>
      <c r="H42" s="1" t="s">
        <v>4</v>
      </c>
      <c r="I42" s="12"/>
      <c r="J42" s="61">
        <f>SUM(L42:AJ42)</f>
        <v>1249377.2486155655</v>
      </c>
      <c r="K42" s="62"/>
      <c r="L42" s="78">
        <v>30000</v>
      </c>
      <c r="M42" s="78">
        <f>L42*1.04</f>
        <v>31200</v>
      </c>
      <c r="N42" s="78">
        <f t="shared" si="12"/>
        <v>32448</v>
      </c>
      <c r="O42" s="78">
        <f t="shared" si="12"/>
        <v>33745.919999999998</v>
      </c>
      <c r="P42" s="78">
        <f t="shared" si="12"/>
        <v>35095.756800000003</v>
      </c>
      <c r="Q42" s="78">
        <f t="shared" si="12"/>
        <v>36499.587072000002</v>
      </c>
      <c r="R42" s="78">
        <f t="shared" si="12"/>
        <v>37959.570554880003</v>
      </c>
      <c r="S42" s="78">
        <f t="shared" si="12"/>
        <v>39477.953377075202</v>
      </c>
      <c r="T42" s="78">
        <f t="shared" si="12"/>
        <v>41057.071512158211</v>
      </c>
      <c r="U42" s="78">
        <f t="shared" si="12"/>
        <v>42699.354372644542</v>
      </c>
      <c r="V42" s="78">
        <f t="shared" si="12"/>
        <v>44407.328547550329</v>
      </c>
      <c r="W42" s="78">
        <f t="shared" si="12"/>
        <v>46183.621689452346</v>
      </c>
      <c r="X42" s="78">
        <f t="shared" si="12"/>
        <v>48030.966557030442</v>
      </c>
      <c r="Y42" s="78">
        <f t="shared" si="12"/>
        <v>49952.205219311661</v>
      </c>
      <c r="Z42" s="78">
        <f t="shared" si="12"/>
        <v>51950.293428084129</v>
      </c>
      <c r="AA42" s="78">
        <f t="shared" si="12"/>
        <v>54028.305165207494</v>
      </c>
      <c r="AB42" s="78">
        <f t="shared" si="12"/>
        <v>56189.437371815795</v>
      </c>
      <c r="AC42" s="78">
        <f t="shared" si="12"/>
        <v>58437.014866688427</v>
      </c>
      <c r="AD42" s="78">
        <f t="shared" si="12"/>
        <v>60774.495461355968</v>
      </c>
      <c r="AE42" s="78">
        <f t="shared" si="12"/>
        <v>63205.475279810205</v>
      </c>
      <c r="AF42" s="78">
        <f t="shared" si="12"/>
        <v>65733.694291002612</v>
      </c>
      <c r="AG42" s="78">
        <f t="shared" si="12"/>
        <v>68363.042062642722</v>
      </c>
      <c r="AH42" s="78">
        <f t="shared" si="12"/>
        <v>71097.563745148436</v>
      </c>
      <c r="AI42" s="78">
        <f t="shared" si="12"/>
        <v>73941.466294954371</v>
      </c>
      <c r="AJ42" s="78">
        <f t="shared" si="12"/>
        <v>76899.124946752549</v>
      </c>
      <c r="AK42" s="104"/>
    </row>
    <row r="43" spans="1:37" s="7" customFormat="1" ht="5.0999999999999996" customHeight="1">
      <c r="A43" s="50"/>
      <c r="H43" s="3"/>
      <c r="J43" s="71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26"/>
    </row>
    <row r="44" spans="1:37" s="28" customFormat="1" ht="13.5" thickBot="1">
      <c r="A44" s="34"/>
      <c r="B44" s="28" t="s">
        <v>48</v>
      </c>
      <c r="H44" s="31" t="s">
        <v>4</v>
      </c>
      <c r="J44" s="60" t="e">
        <f>SUM(L44:AJ44)</f>
        <v>#REF!</v>
      </c>
      <c r="K44" s="60"/>
      <c r="L44" s="60" t="e">
        <f>SUM(L2,L39:L42)</f>
        <v>#REF!</v>
      </c>
      <c r="M44" s="60" t="e">
        <f t="shared" ref="M44:AF44" si="13">SUM(M2,M39:M42)</f>
        <v>#REF!</v>
      </c>
      <c r="N44" s="60" t="e">
        <f t="shared" si="13"/>
        <v>#REF!</v>
      </c>
      <c r="O44" s="60" t="e">
        <f t="shared" si="13"/>
        <v>#REF!</v>
      </c>
      <c r="P44" s="60" t="e">
        <f t="shared" si="13"/>
        <v>#REF!</v>
      </c>
      <c r="Q44" s="60" t="e">
        <f t="shared" si="13"/>
        <v>#REF!</v>
      </c>
      <c r="R44" s="60" t="e">
        <f t="shared" si="13"/>
        <v>#REF!</v>
      </c>
      <c r="S44" s="60" t="e">
        <f t="shared" si="13"/>
        <v>#REF!</v>
      </c>
      <c r="T44" s="60" t="e">
        <f t="shared" si="13"/>
        <v>#REF!</v>
      </c>
      <c r="U44" s="60" t="e">
        <f t="shared" si="13"/>
        <v>#REF!</v>
      </c>
      <c r="V44" s="60" t="e">
        <f t="shared" si="13"/>
        <v>#REF!</v>
      </c>
      <c r="W44" s="60" t="e">
        <f t="shared" si="13"/>
        <v>#REF!</v>
      </c>
      <c r="X44" s="60" t="e">
        <f t="shared" si="13"/>
        <v>#REF!</v>
      </c>
      <c r="Y44" s="60" t="e">
        <f t="shared" si="13"/>
        <v>#REF!</v>
      </c>
      <c r="Z44" s="60" t="e">
        <f t="shared" si="13"/>
        <v>#REF!</v>
      </c>
      <c r="AA44" s="60" t="e">
        <f t="shared" si="13"/>
        <v>#REF!</v>
      </c>
      <c r="AB44" s="60" t="e">
        <f t="shared" si="13"/>
        <v>#REF!</v>
      </c>
      <c r="AC44" s="60" t="e">
        <f t="shared" si="13"/>
        <v>#REF!</v>
      </c>
      <c r="AD44" s="60" t="e">
        <f t="shared" si="13"/>
        <v>#REF!</v>
      </c>
      <c r="AE44" s="60" t="e">
        <f t="shared" si="13"/>
        <v>#REF!</v>
      </c>
      <c r="AF44" s="60" t="e">
        <f t="shared" si="13"/>
        <v>#REF!</v>
      </c>
      <c r="AG44" s="60" t="e">
        <f>SUM(AG2,AG39:AG42)</f>
        <v>#REF!</v>
      </c>
      <c r="AH44" s="60" t="e">
        <f>SUM(AH2,AH39:AH42)</f>
        <v>#REF!</v>
      </c>
      <c r="AI44" s="60" t="e">
        <f>SUM(AI2,AI39:AI42)</f>
        <v>#REF!</v>
      </c>
      <c r="AJ44" s="60" t="e">
        <f>SUM(AJ2,AJ39:AJ42)</f>
        <v>#REF!</v>
      </c>
      <c r="AK44" s="103"/>
    </row>
    <row r="45" spans="1:37" s="29" customFormat="1">
      <c r="A45" s="34"/>
      <c r="B45" s="29" t="s">
        <v>49</v>
      </c>
      <c r="H45" s="33" t="s">
        <v>4</v>
      </c>
      <c r="J45" s="61" t="e">
        <f>SUM(L45:AJ45)</f>
        <v>#REF!</v>
      </c>
      <c r="K45" s="61"/>
      <c r="L45" s="61" t="e">
        <f>(L44-L41-L42)/1.2*0.2</f>
        <v>#REF!</v>
      </c>
      <c r="M45" s="61" t="e">
        <f t="shared" ref="M45:AF45" si="14">(M44-M41-M42)/1.2*0.2</f>
        <v>#REF!</v>
      </c>
      <c r="N45" s="61" t="e">
        <f t="shared" si="14"/>
        <v>#REF!</v>
      </c>
      <c r="O45" s="61" t="e">
        <f t="shared" si="14"/>
        <v>#REF!</v>
      </c>
      <c r="P45" s="61" t="e">
        <f t="shared" si="14"/>
        <v>#REF!</v>
      </c>
      <c r="Q45" s="61" t="e">
        <f t="shared" si="14"/>
        <v>#REF!</v>
      </c>
      <c r="R45" s="61" t="e">
        <f t="shared" si="14"/>
        <v>#REF!</v>
      </c>
      <c r="S45" s="61" t="e">
        <f t="shared" si="14"/>
        <v>#REF!</v>
      </c>
      <c r="T45" s="61" t="e">
        <f t="shared" si="14"/>
        <v>#REF!</v>
      </c>
      <c r="U45" s="61" t="e">
        <f t="shared" si="14"/>
        <v>#REF!</v>
      </c>
      <c r="V45" s="61" t="e">
        <f t="shared" si="14"/>
        <v>#REF!</v>
      </c>
      <c r="W45" s="61" t="e">
        <f t="shared" si="14"/>
        <v>#REF!</v>
      </c>
      <c r="X45" s="61" t="e">
        <f t="shared" si="14"/>
        <v>#REF!</v>
      </c>
      <c r="Y45" s="61" t="e">
        <f t="shared" si="14"/>
        <v>#REF!</v>
      </c>
      <c r="Z45" s="61" t="e">
        <f t="shared" si="14"/>
        <v>#REF!</v>
      </c>
      <c r="AA45" s="61" t="e">
        <f t="shared" si="14"/>
        <v>#REF!</v>
      </c>
      <c r="AB45" s="61" t="e">
        <f t="shared" si="14"/>
        <v>#REF!</v>
      </c>
      <c r="AC45" s="61" t="e">
        <f t="shared" si="14"/>
        <v>#REF!</v>
      </c>
      <c r="AD45" s="61" t="e">
        <f t="shared" si="14"/>
        <v>#REF!</v>
      </c>
      <c r="AE45" s="61" t="e">
        <f t="shared" si="14"/>
        <v>#REF!</v>
      </c>
      <c r="AF45" s="61" t="e">
        <f t="shared" si="14"/>
        <v>#REF!</v>
      </c>
      <c r="AG45" s="61" t="e">
        <f>(AG44-AG41-AG42)/1.2*0.2</f>
        <v>#REF!</v>
      </c>
      <c r="AH45" s="61" t="e">
        <f>(AH44-AH41-AH42)/1.2*0.2</f>
        <v>#REF!</v>
      </c>
      <c r="AI45" s="61" t="e">
        <f>(AI44-AI41-AI42)/1.2*0.2</f>
        <v>#REF!</v>
      </c>
      <c r="AJ45" s="61" t="e">
        <f>(AJ44-AJ41-AJ42)/1.2*0.2</f>
        <v>#REF!</v>
      </c>
      <c r="AK45" s="103"/>
    </row>
    <row r="46" spans="1:37" ht="5.0999999999999996" customHeight="1">
      <c r="J46" s="73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7" s="29" customFormat="1">
      <c r="A47" s="34"/>
      <c r="B47" s="29" t="s">
        <v>50</v>
      </c>
      <c r="H47" s="33" t="s">
        <v>4</v>
      </c>
      <c r="J47" s="61" t="e">
        <f>SUM(L47:AJ47)</f>
        <v>#REF!</v>
      </c>
      <c r="K47" s="61"/>
      <c r="L47" s="61" t="e">
        <f>L44-L45</f>
        <v>#REF!</v>
      </c>
      <c r="M47" s="61" t="e">
        <f t="shared" ref="M47:AF47" si="15">M44-M45</f>
        <v>#REF!</v>
      </c>
      <c r="N47" s="61" t="e">
        <f t="shared" si="15"/>
        <v>#REF!</v>
      </c>
      <c r="O47" s="61" t="e">
        <f t="shared" si="15"/>
        <v>#REF!</v>
      </c>
      <c r="P47" s="61" t="e">
        <f t="shared" si="15"/>
        <v>#REF!</v>
      </c>
      <c r="Q47" s="61" t="e">
        <f t="shared" si="15"/>
        <v>#REF!</v>
      </c>
      <c r="R47" s="61" t="e">
        <f t="shared" si="15"/>
        <v>#REF!</v>
      </c>
      <c r="S47" s="61" t="e">
        <f t="shared" si="15"/>
        <v>#REF!</v>
      </c>
      <c r="T47" s="61" t="e">
        <f t="shared" si="15"/>
        <v>#REF!</v>
      </c>
      <c r="U47" s="61" t="e">
        <f t="shared" si="15"/>
        <v>#REF!</v>
      </c>
      <c r="V47" s="61" t="e">
        <f t="shared" si="15"/>
        <v>#REF!</v>
      </c>
      <c r="W47" s="61" t="e">
        <f t="shared" si="15"/>
        <v>#REF!</v>
      </c>
      <c r="X47" s="61" t="e">
        <f t="shared" si="15"/>
        <v>#REF!</v>
      </c>
      <c r="Y47" s="61" t="e">
        <f t="shared" si="15"/>
        <v>#REF!</v>
      </c>
      <c r="Z47" s="61" t="e">
        <f t="shared" si="15"/>
        <v>#REF!</v>
      </c>
      <c r="AA47" s="61" t="e">
        <f t="shared" si="15"/>
        <v>#REF!</v>
      </c>
      <c r="AB47" s="61" t="e">
        <f t="shared" si="15"/>
        <v>#REF!</v>
      </c>
      <c r="AC47" s="61" t="e">
        <f t="shared" si="15"/>
        <v>#REF!</v>
      </c>
      <c r="AD47" s="61" t="e">
        <f t="shared" si="15"/>
        <v>#REF!</v>
      </c>
      <c r="AE47" s="61" t="e">
        <f t="shared" si="15"/>
        <v>#REF!</v>
      </c>
      <c r="AF47" s="61" t="e">
        <f t="shared" si="15"/>
        <v>#REF!</v>
      </c>
      <c r="AG47" s="61" t="e">
        <f>AG44-AG45</f>
        <v>#REF!</v>
      </c>
      <c r="AH47" s="61" t="e">
        <f>AH44-AH45</f>
        <v>#REF!</v>
      </c>
      <c r="AI47" s="61" t="e">
        <f>AI44-AI45</f>
        <v>#REF!</v>
      </c>
      <c r="AJ47" s="61" t="e">
        <f>AJ44-AJ45</f>
        <v>#REF!</v>
      </c>
      <c r="AK47" s="103"/>
    </row>
    <row r="48" spans="1:37" s="28" customFormat="1" ht="13.5" thickBot="1">
      <c r="A48" s="34"/>
      <c r="B48" s="30" t="s">
        <v>51</v>
      </c>
      <c r="C48" s="30"/>
      <c r="D48" s="30"/>
      <c r="E48" s="30"/>
      <c r="F48" s="30"/>
      <c r="G48" s="30"/>
      <c r="H48" s="35" t="s">
        <v>4</v>
      </c>
      <c r="I48" s="30"/>
      <c r="J48" s="75" t="e">
        <f>SUM(L48:AJ48)</f>
        <v>#REF!</v>
      </c>
      <c r="K48" s="75"/>
      <c r="L48" s="75" t="e">
        <f>SUM(L47)</f>
        <v>#REF!</v>
      </c>
      <c r="M48" s="75" t="e">
        <f t="shared" ref="M48:AJ48" si="16">SUM(M47)</f>
        <v>#REF!</v>
      </c>
      <c r="N48" s="75" t="e">
        <f t="shared" si="16"/>
        <v>#REF!</v>
      </c>
      <c r="O48" s="75" t="e">
        <f t="shared" si="16"/>
        <v>#REF!</v>
      </c>
      <c r="P48" s="75" t="e">
        <f t="shared" si="16"/>
        <v>#REF!</v>
      </c>
      <c r="Q48" s="75" t="e">
        <f t="shared" si="16"/>
        <v>#REF!</v>
      </c>
      <c r="R48" s="75" t="e">
        <f t="shared" si="16"/>
        <v>#REF!</v>
      </c>
      <c r="S48" s="75" t="e">
        <f t="shared" si="16"/>
        <v>#REF!</v>
      </c>
      <c r="T48" s="75" t="e">
        <f t="shared" si="16"/>
        <v>#REF!</v>
      </c>
      <c r="U48" s="75" t="e">
        <f t="shared" si="16"/>
        <v>#REF!</v>
      </c>
      <c r="V48" s="75" t="e">
        <f t="shared" si="16"/>
        <v>#REF!</v>
      </c>
      <c r="W48" s="75" t="e">
        <f t="shared" si="16"/>
        <v>#REF!</v>
      </c>
      <c r="X48" s="75" t="e">
        <f t="shared" si="16"/>
        <v>#REF!</v>
      </c>
      <c r="Y48" s="75" t="e">
        <f t="shared" si="16"/>
        <v>#REF!</v>
      </c>
      <c r="Z48" s="75" t="e">
        <f t="shared" si="16"/>
        <v>#REF!</v>
      </c>
      <c r="AA48" s="75" t="e">
        <f t="shared" si="16"/>
        <v>#REF!</v>
      </c>
      <c r="AB48" s="75" t="e">
        <f t="shared" si="16"/>
        <v>#REF!</v>
      </c>
      <c r="AC48" s="75" t="e">
        <f t="shared" si="16"/>
        <v>#REF!</v>
      </c>
      <c r="AD48" s="75" t="e">
        <f t="shared" si="16"/>
        <v>#REF!</v>
      </c>
      <c r="AE48" s="75" t="e">
        <f t="shared" si="16"/>
        <v>#REF!</v>
      </c>
      <c r="AF48" s="75" t="e">
        <f t="shared" si="16"/>
        <v>#REF!</v>
      </c>
      <c r="AG48" s="75" t="e">
        <f t="shared" si="16"/>
        <v>#REF!</v>
      </c>
      <c r="AH48" s="75" t="e">
        <f t="shared" si="16"/>
        <v>#REF!</v>
      </c>
      <c r="AI48" s="75" t="e">
        <f t="shared" si="16"/>
        <v>#REF!</v>
      </c>
      <c r="AJ48" s="75" t="e">
        <f t="shared" si="16"/>
        <v>#REF!</v>
      </c>
      <c r="AK48" s="103"/>
    </row>
    <row r="49" spans="1:37" ht="13.5" thickTop="1"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7" s="47" customFormat="1">
      <c r="A50" s="49"/>
      <c r="B50" s="44"/>
      <c r="C50" s="45"/>
      <c r="D50" s="44" t="s">
        <v>30</v>
      </c>
      <c r="E50" s="44"/>
      <c r="F50" s="44"/>
      <c r="G50" s="44"/>
      <c r="H50" s="46" t="s">
        <v>32</v>
      </c>
      <c r="I50" s="44"/>
      <c r="J50" s="64"/>
      <c r="K50" s="65"/>
      <c r="L50" s="94">
        <v>6.51</v>
      </c>
      <c r="M50" s="94">
        <f>L50*1.04</f>
        <v>6.7704000000000004</v>
      </c>
      <c r="N50" s="94">
        <f t="shared" ref="N50:AJ50" si="17">M50*1.04</f>
        <v>7.0412160000000004</v>
      </c>
      <c r="O50" s="94">
        <f t="shared" si="17"/>
        <v>7.3228646400000006</v>
      </c>
      <c r="P50" s="94">
        <f t="shared" si="17"/>
        <v>7.6157792256000008</v>
      </c>
      <c r="Q50" s="94">
        <f t="shared" si="17"/>
        <v>7.9204103946240014</v>
      </c>
      <c r="R50" s="94">
        <f t="shared" si="17"/>
        <v>8.237226810408961</v>
      </c>
      <c r="S50" s="94">
        <f t="shared" si="17"/>
        <v>8.5667158828253189</v>
      </c>
      <c r="T50" s="94">
        <f t="shared" si="17"/>
        <v>8.9093845181383315</v>
      </c>
      <c r="U50" s="94">
        <f t="shared" si="17"/>
        <v>9.2657598988638643</v>
      </c>
      <c r="V50" s="94">
        <f t="shared" si="17"/>
        <v>9.636390294818419</v>
      </c>
      <c r="W50" s="94">
        <f t="shared" si="17"/>
        <v>10.021845906611157</v>
      </c>
      <c r="X50" s="94">
        <f t="shared" si="17"/>
        <v>10.422719742875604</v>
      </c>
      <c r="Y50" s="94">
        <f t="shared" si="17"/>
        <v>10.839628532590629</v>
      </c>
      <c r="Z50" s="94">
        <f t="shared" si="17"/>
        <v>11.273213673894254</v>
      </c>
      <c r="AA50" s="94">
        <f t="shared" si="17"/>
        <v>11.724142220850025</v>
      </c>
      <c r="AB50" s="94">
        <f t="shared" si="17"/>
        <v>12.193107909684027</v>
      </c>
      <c r="AC50" s="94">
        <f t="shared" si="17"/>
        <v>12.680832226071388</v>
      </c>
      <c r="AD50" s="94">
        <f t="shared" si="17"/>
        <v>13.188065515114245</v>
      </c>
      <c r="AE50" s="94">
        <f t="shared" si="17"/>
        <v>13.715588135718814</v>
      </c>
      <c r="AF50" s="94">
        <f t="shared" si="17"/>
        <v>14.264211661147568</v>
      </c>
      <c r="AG50" s="94">
        <f t="shared" si="17"/>
        <v>14.834780127593472</v>
      </c>
      <c r="AH50" s="94">
        <f t="shared" si="17"/>
        <v>15.428171332697211</v>
      </c>
      <c r="AI50" s="94">
        <f t="shared" si="17"/>
        <v>16.045298186005098</v>
      </c>
      <c r="AJ50" s="94">
        <f t="shared" si="17"/>
        <v>16.687110113445303</v>
      </c>
      <c r="AK50" s="104"/>
    </row>
    <row r="51" spans="1:37"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7"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7"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7"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7"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7"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</sheetData>
  <customSheetViews>
    <customSheetView guid="{7D5A2C9F-3ABE-4F29-B54C-C3E3AA98CA69}" scale="75" showPageBreaks="1" fitToPage="1" printArea="1" hiddenColumns="1" state="veryHidden">
      <pane xSplit="11" ySplit="1" topLeftCell="L2" activePane="bottomRight" state="frozen"/>
      <selection pane="bottomRight" activeCell="M36" sqref="M36"/>
      <pageMargins left="7.874015748031496E-2" right="7.874015748031496E-2" top="0.74803149606299213" bottom="0.74803149606299213" header="0.31496062992125984" footer="0.31496062992125984"/>
      <printOptions horizontalCentered="1"/>
      <pageSetup paperSize="9" scale="40" orientation="landscape" horizontalDpi="0" verticalDpi="0" r:id="rId1"/>
    </customSheetView>
  </customSheetViews>
  <printOptions horizontalCentered="1"/>
  <pageMargins left="7.874015748031496E-2" right="7.874015748031496E-2" top="0.74803149606299213" bottom="0.74803149606299213" header="0.31496062992125984" footer="0.31496062992125984"/>
  <pageSetup paperSize="9" scale="40" orientation="landscape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3" tint="-0.249977111117893"/>
  </sheetPr>
  <dimension ref="A1:AP70"/>
  <sheetViews>
    <sheetView view="pageBreakPreview" zoomScale="85" zoomScaleNormal="100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ColWidth="0" defaultRowHeight="12.75" outlineLevelRow="1"/>
  <cols>
    <col min="1" max="1" width="2.7109375" style="26" customWidth="1"/>
    <col min="2" max="3" width="2.7109375" style="17" customWidth="1"/>
    <col min="4" max="6" width="9.140625" style="17" customWidth="1"/>
    <col min="7" max="7" width="2.7109375" style="17" customWidth="1"/>
    <col min="8" max="8" width="10.7109375" style="18" customWidth="1"/>
    <col min="9" max="9" width="1.7109375" style="17" customWidth="1"/>
    <col min="10" max="10" width="12.5703125" style="19" bestFit="1" customWidth="1"/>
    <col min="11" max="11" width="1.7109375" style="17" customWidth="1"/>
    <col min="12" max="41" width="11.5703125" style="17" bestFit="1" customWidth="1"/>
    <col min="42" max="42" width="2.7109375" style="26" customWidth="1"/>
    <col min="43" max="16384" width="9.140625" style="26" hidden="1"/>
  </cols>
  <sheetData>
    <row r="1" spans="2:41" s="102" customFormat="1" ht="13.5" thickBot="1">
      <c r="B1" s="10"/>
      <c r="C1" s="10"/>
      <c r="D1" s="10"/>
      <c r="E1" s="10"/>
      <c r="F1" s="10"/>
      <c r="G1" s="10"/>
      <c r="H1" s="10" t="s">
        <v>3</v>
      </c>
      <c r="I1" s="10"/>
      <c r="J1" s="16" t="s">
        <v>2</v>
      </c>
      <c r="K1" s="10"/>
      <c r="L1" s="10">
        <v>2022</v>
      </c>
      <c r="M1" s="10">
        <v>2023</v>
      </c>
      <c r="N1" s="10">
        <v>2024</v>
      </c>
      <c r="O1" s="10">
        <v>2025</v>
      </c>
      <c r="P1" s="10">
        <v>2026</v>
      </c>
      <c r="Q1" s="10">
        <v>2027</v>
      </c>
      <c r="R1" s="10">
        <v>2028</v>
      </c>
      <c r="S1" s="10">
        <v>2029</v>
      </c>
      <c r="T1" s="10">
        <v>2030</v>
      </c>
      <c r="U1" s="10">
        <v>2031</v>
      </c>
      <c r="V1" s="10">
        <v>2032</v>
      </c>
      <c r="W1" s="10">
        <v>2033</v>
      </c>
      <c r="X1" s="10">
        <v>2034</v>
      </c>
      <c r="Y1" s="10">
        <v>2035</v>
      </c>
      <c r="Z1" s="10">
        <v>2036</v>
      </c>
      <c r="AA1" s="10">
        <v>2037</v>
      </c>
      <c r="AB1" s="10">
        <v>2038</v>
      </c>
      <c r="AC1" s="10">
        <v>2039</v>
      </c>
      <c r="AD1" s="10">
        <v>2040</v>
      </c>
      <c r="AE1" s="10">
        <v>2041</v>
      </c>
      <c r="AF1" s="10">
        <v>2042</v>
      </c>
      <c r="AG1" s="10">
        <v>2043</v>
      </c>
      <c r="AH1" s="10">
        <v>2044</v>
      </c>
      <c r="AI1" s="10">
        <v>2045</v>
      </c>
      <c r="AJ1" s="10">
        <v>2046</v>
      </c>
      <c r="AK1" s="10">
        <v>2047</v>
      </c>
      <c r="AL1" s="10">
        <v>2048</v>
      </c>
      <c r="AM1" s="10">
        <v>2049</v>
      </c>
      <c r="AN1" s="10">
        <v>2050</v>
      </c>
      <c r="AO1" s="10">
        <v>2051</v>
      </c>
    </row>
    <row r="2" spans="2:41" s="103" customFormat="1" ht="13.5" thickBot="1">
      <c r="B2" s="28" t="s">
        <v>196</v>
      </c>
      <c r="C2" s="28"/>
      <c r="D2" s="28"/>
      <c r="E2" s="28"/>
      <c r="F2" s="28"/>
      <c r="G2" s="28"/>
      <c r="H2" s="31" t="s">
        <v>4</v>
      </c>
      <c r="I2" s="28"/>
      <c r="J2" s="28">
        <f>SUM(L2:AO2)</f>
        <v>1850000</v>
      </c>
      <c r="K2" s="28"/>
      <c r="L2" s="187">
        <v>1200000</v>
      </c>
      <c r="M2" s="188">
        <v>400000</v>
      </c>
      <c r="N2" s="188">
        <v>250000</v>
      </c>
      <c r="O2" s="18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2:41" s="103" customFormat="1">
      <c r="B3" s="29"/>
      <c r="C3" s="29"/>
      <c r="D3" s="29"/>
      <c r="E3" s="29"/>
      <c r="F3" s="29"/>
      <c r="G3" s="29"/>
      <c r="H3" s="33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2:41" s="103" customFormat="1" ht="13.5" thickBot="1">
      <c r="B4" s="30" t="s">
        <v>60</v>
      </c>
      <c r="C4" s="30"/>
      <c r="D4" s="30"/>
      <c r="E4" s="30"/>
      <c r="F4" s="30"/>
      <c r="G4" s="30"/>
      <c r="H4" s="35" t="s">
        <v>4</v>
      </c>
      <c r="I4" s="30"/>
      <c r="J4" s="30">
        <f>SUM(L4:AO4)</f>
        <v>1850000</v>
      </c>
      <c r="K4" s="30"/>
      <c r="L4" s="30">
        <f>SUM(L2)</f>
        <v>1200000</v>
      </c>
      <c r="M4" s="30">
        <f t="shared" ref="M4:AJ4" si="0">SUM(M2)</f>
        <v>400000</v>
      </c>
      <c r="N4" s="30">
        <f t="shared" si="0"/>
        <v>250000</v>
      </c>
      <c r="O4" s="30">
        <f t="shared" si="0"/>
        <v>0</v>
      </c>
      <c r="P4" s="30">
        <f t="shared" si="0"/>
        <v>0</v>
      </c>
      <c r="Q4" s="30">
        <f t="shared" si="0"/>
        <v>0</v>
      </c>
      <c r="R4" s="30">
        <f t="shared" si="0"/>
        <v>0</v>
      </c>
      <c r="S4" s="30">
        <f t="shared" si="0"/>
        <v>0</v>
      </c>
      <c r="T4" s="30">
        <f t="shared" si="0"/>
        <v>0</v>
      </c>
      <c r="U4" s="30">
        <f t="shared" si="0"/>
        <v>0</v>
      </c>
      <c r="V4" s="30">
        <f t="shared" si="0"/>
        <v>0</v>
      </c>
      <c r="W4" s="30">
        <f t="shared" si="0"/>
        <v>0</v>
      </c>
      <c r="X4" s="30">
        <f t="shared" si="0"/>
        <v>0</v>
      </c>
      <c r="Y4" s="30">
        <f t="shared" si="0"/>
        <v>0</v>
      </c>
      <c r="Z4" s="30">
        <f t="shared" si="0"/>
        <v>0</v>
      </c>
      <c r="AA4" s="30">
        <f t="shared" si="0"/>
        <v>0</v>
      </c>
      <c r="AB4" s="30">
        <f t="shared" si="0"/>
        <v>0</v>
      </c>
      <c r="AC4" s="30">
        <f t="shared" si="0"/>
        <v>0</v>
      </c>
      <c r="AD4" s="30">
        <f t="shared" si="0"/>
        <v>0</v>
      </c>
      <c r="AE4" s="30">
        <f t="shared" si="0"/>
        <v>0</v>
      </c>
      <c r="AF4" s="30">
        <f t="shared" si="0"/>
        <v>0</v>
      </c>
      <c r="AG4" s="30">
        <f t="shared" si="0"/>
        <v>0</v>
      </c>
      <c r="AH4" s="30">
        <f t="shared" si="0"/>
        <v>0</v>
      </c>
      <c r="AI4" s="30">
        <f t="shared" si="0"/>
        <v>0</v>
      </c>
      <c r="AJ4" s="30">
        <f t="shared" si="0"/>
        <v>0</v>
      </c>
      <c r="AK4" s="30">
        <f t="shared" ref="AK4:AN4" si="1">SUM(AK2)</f>
        <v>0</v>
      </c>
      <c r="AL4" s="30">
        <f t="shared" si="1"/>
        <v>0</v>
      </c>
      <c r="AM4" s="30">
        <f t="shared" si="1"/>
        <v>0</v>
      </c>
      <c r="AN4" s="30">
        <f t="shared" si="1"/>
        <v>0</v>
      </c>
      <c r="AO4" s="30">
        <f t="shared" ref="AO4" si="2">SUM(AO2)</f>
        <v>0</v>
      </c>
    </row>
    <row r="5" spans="2:41" s="103" customFormat="1" ht="13.5" thickTop="1">
      <c r="B5" s="29"/>
      <c r="C5" s="29"/>
      <c r="D5" s="29"/>
      <c r="E5" s="29"/>
      <c r="F5" s="29"/>
      <c r="G5" s="29"/>
      <c r="H5" s="3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2:41" s="103" customFormat="1">
      <c r="B6" s="29" t="s">
        <v>59</v>
      </c>
      <c r="C6" s="29"/>
      <c r="D6" s="29"/>
      <c r="E6" s="29"/>
      <c r="F6" s="29"/>
      <c r="G6" s="29"/>
      <c r="H6" s="33" t="s">
        <v>4</v>
      </c>
      <c r="I6" s="29"/>
      <c r="J6" s="29">
        <f>SUM(L6:AO6)</f>
        <v>308333.33333333337</v>
      </c>
      <c r="K6" s="29"/>
      <c r="L6" s="29">
        <f t="shared" ref="L6:AJ6" si="3">L2/1.2*0.2</f>
        <v>200000</v>
      </c>
      <c r="M6" s="29">
        <f>M2/1.2*0.2</f>
        <v>66666.666666666672</v>
      </c>
      <c r="N6" s="29">
        <f t="shared" si="3"/>
        <v>41666.666666666672</v>
      </c>
      <c r="O6" s="29">
        <f t="shared" si="3"/>
        <v>0</v>
      </c>
      <c r="P6" s="29">
        <f t="shared" si="3"/>
        <v>0</v>
      </c>
      <c r="Q6" s="29">
        <f t="shared" si="3"/>
        <v>0</v>
      </c>
      <c r="R6" s="29">
        <f t="shared" si="3"/>
        <v>0</v>
      </c>
      <c r="S6" s="29">
        <f t="shared" si="3"/>
        <v>0</v>
      </c>
      <c r="T6" s="29">
        <f t="shared" si="3"/>
        <v>0</v>
      </c>
      <c r="U6" s="29">
        <f t="shared" si="3"/>
        <v>0</v>
      </c>
      <c r="V6" s="29">
        <f t="shared" si="3"/>
        <v>0</v>
      </c>
      <c r="W6" s="29">
        <f t="shared" si="3"/>
        <v>0</v>
      </c>
      <c r="X6" s="29">
        <f t="shared" si="3"/>
        <v>0</v>
      </c>
      <c r="Y6" s="29">
        <f t="shared" si="3"/>
        <v>0</v>
      </c>
      <c r="Z6" s="29">
        <f t="shared" si="3"/>
        <v>0</v>
      </c>
      <c r="AA6" s="29">
        <f t="shared" si="3"/>
        <v>0</v>
      </c>
      <c r="AB6" s="29">
        <f t="shared" si="3"/>
        <v>0</v>
      </c>
      <c r="AC6" s="29">
        <f t="shared" si="3"/>
        <v>0</v>
      </c>
      <c r="AD6" s="29">
        <f t="shared" si="3"/>
        <v>0</v>
      </c>
      <c r="AE6" s="29">
        <f t="shared" si="3"/>
        <v>0</v>
      </c>
      <c r="AF6" s="29">
        <f t="shared" si="3"/>
        <v>0</v>
      </c>
      <c r="AG6" s="29">
        <f t="shared" si="3"/>
        <v>0</v>
      </c>
      <c r="AH6" s="29">
        <f t="shared" si="3"/>
        <v>0</v>
      </c>
      <c r="AI6" s="29">
        <f t="shared" si="3"/>
        <v>0</v>
      </c>
      <c r="AJ6" s="29">
        <f t="shared" si="3"/>
        <v>0</v>
      </c>
      <c r="AK6" s="29">
        <f t="shared" ref="AK6:AN6" si="4">AK2/1.2*0.2</f>
        <v>0</v>
      </c>
      <c r="AL6" s="29">
        <f t="shared" si="4"/>
        <v>0</v>
      </c>
      <c r="AM6" s="29">
        <f t="shared" si="4"/>
        <v>0</v>
      </c>
      <c r="AN6" s="29">
        <f t="shared" si="4"/>
        <v>0</v>
      </c>
      <c r="AO6" s="29">
        <f t="shared" ref="AO6" si="5">AO2/1.2*0.2</f>
        <v>0</v>
      </c>
    </row>
    <row r="7" spans="2:41" s="84" customFormat="1">
      <c r="B7" s="8" t="s">
        <v>62</v>
      </c>
      <c r="C7" s="8"/>
      <c r="D7" s="8"/>
      <c r="E7" s="8"/>
      <c r="F7" s="8"/>
      <c r="G7" s="8"/>
      <c r="H7" s="37" t="s">
        <v>8</v>
      </c>
      <c r="I7" s="8"/>
      <c r="J7" s="8">
        <v>0.8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2:41" s="103" customFormat="1">
      <c r="B8" s="29" t="s">
        <v>61</v>
      </c>
      <c r="C8" s="29"/>
      <c r="D8" s="29"/>
      <c r="E8" s="29"/>
      <c r="F8" s="29"/>
      <c r="G8" s="29"/>
      <c r="H8" s="33" t="s">
        <v>4</v>
      </c>
      <c r="I8" s="29"/>
      <c r="J8" s="29">
        <f>SUM(L8:AO8)</f>
        <v>246666.66666666669</v>
      </c>
      <c r="K8" s="29"/>
      <c r="L8" s="29"/>
      <c r="M8" s="29">
        <f>L6*$J$7</f>
        <v>160000</v>
      </c>
      <c r="N8" s="29">
        <f>M6*$J$7</f>
        <v>53333.333333333343</v>
      </c>
      <c r="O8" s="29">
        <f t="shared" ref="O8:AJ8" si="6">N6*$J$7</f>
        <v>33333.333333333336</v>
      </c>
      <c r="P8" s="29">
        <f t="shared" si="6"/>
        <v>0</v>
      </c>
      <c r="Q8" s="29">
        <f t="shared" si="6"/>
        <v>0</v>
      </c>
      <c r="R8" s="29">
        <f t="shared" si="6"/>
        <v>0</v>
      </c>
      <c r="S8" s="29">
        <f t="shared" si="6"/>
        <v>0</v>
      </c>
      <c r="T8" s="29">
        <f t="shared" si="6"/>
        <v>0</v>
      </c>
      <c r="U8" s="29">
        <f t="shared" si="6"/>
        <v>0</v>
      </c>
      <c r="V8" s="29">
        <f t="shared" si="6"/>
        <v>0</v>
      </c>
      <c r="W8" s="29">
        <f t="shared" si="6"/>
        <v>0</v>
      </c>
      <c r="X8" s="29">
        <f t="shared" si="6"/>
        <v>0</v>
      </c>
      <c r="Y8" s="29">
        <f t="shared" si="6"/>
        <v>0</v>
      </c>
      <c r="Z8" s="29">
        <f t="shared" si="6"/>
        <v>0</v>
      </c>
      <c r="AA8" s="29">
        <f t="shared" si="6"/>
        <v>0</v>
      </c>
      <c r="AB8" s="29">
        <f t="shared" si="6"/>
        <v>0</v>
      </c>
      <c r="AC8" s="29">
        <f t="shared" si="6"/>
        <v>0</v>
      </c>
      <c r="AD8" s="29">
        <f t="shared" si="6"/>
        <v>0</v>
      </c>
      <c r="AE8" s="29">
        <f t="shared" si="6"/>
        <v>0</v>
      </c>
      <c r="AF8" s="29">
        <f t="shared" si="6"/>
        <v>0</v>
      </c>
      <c r="AG8" s="29">
        <f t="shared" si="6"/>
        <v>0</v>
      </c>
      <c r="AH8" s="29">
        <f t="shared" si="6"/>
        <v>0</v>
      </c>
      <c r="AI8" s="29">
        <f t="shared" si="6"/>
        <v>0</v>
      </c>
      <c r="AJ8" s="29">
        <f t="shared" si="6"/>
        <v>0</v>
      </c>
      <c r="AK8" s="29">
        <f t="shared" ref="AK8" si="7">AJ6*$J$7</f>
        <v>0</v>
      </c>
      <c r="AL8" s="29">
        <f t="shared" ref="AL8" si="8">AK6*$J$7</f>
        <v>0</v>
      </c>
      <c r="AM8" s="29">
        <f t="shared" ref="AM8" si="9">AL6*$J$7</f>
        <v>0</v>
      </c>
      <c r="AN8" s="29">
        <f t="shared" ref="AN8" si="10">AM6*$J$7</f>
        <v>0</v>
      </c>
      <c r="AO8" s="29">
        <f t="shared" ref="AO8" si="11">AN6*$J$7</f>
        <v>0</v>
      </c>
    </row>
    <row r="9" spans="2:41" s="182" customFormat="1">
      <c r="B9" s="183"/>
      <c r="C9" s="183"/>
      <c r="D9" s="183"/>
      <c r="E9" s="183"/>
      <c r="F9" s="183"/>
      <c r="G9" s="183"/>
      <c r="H9" s="184"/>
      <c r="I9" s="183"/>
      <c r="J9" s="190"/>
      <c r="K9" s="183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</row>
    <row r="10" spans="2:41" s="182" customFormat="1">
      <c r="B10" s="183"/>
      <c r="C10" s="183"/>
      <c r="D10" s="183"/>
      <c r="E10" s="183"/>
      <c r="F10" s="183"/>
      <c r="G10" s="183"/>
      <c r="H10" s="184"/>
      <c r="I10" s="183"/>
      <c r="J10" s="192"/>
      <c r="K10" s="183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</row>
    <row r="11" spans="2:41" hidden="1" outlineLevel="1">
      <c r="L11" s="20">
        <f>IFERROR(L1*L2/L2,0)</f>
        <v>2022</v>
      </c>
      <c r="M11" s="20">
        <f t="shared" ref="M11:O11" si="12">IFERROR(M1*M2/M2,0)</f>
        <v>2023</v>
      </c>
      <c r="N11" s="20">
        <f t="shared" si="12"/>
        <v>2024</v>
      </c>
      <c r="O11" s="20">
        <f t="shared" si="12"/>
        <v>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2:41" s="182" customFormat="1" collapsed="1">
      <c r="B12" s="183"/>
      <c r="C12" s="183"/>
      <c r="D12" s="183"/>
      <c r="E12" s="183"/>
      <c r="F12" s="183"/>
      <c r="G12" s="183"/>
      <c r="H12" s="184"/>
      <c r="I12" s="183"/>
      <c r="J12" s="190"/>
      <c r="K12" s="183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</row>
    <row r="13" spans="2:41" s="182" customFormat="1">
      <c r="B13" s="183"/>
      <c r="C13" s="183"/>
      <c r="D13" s="183"/>
      <c r="E13" s="183"/>
      <c r="F13" s="183"/>
      <c r="G13" s="183"/>
      <c r="H13" s="184"/>
      <c r="I13" s="183"/>
      <c r="J13" s="190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</row>
    <row r="14" spans="2:41" s="182" customFormat="1">
      <c r="B14" s="183"/>
      <c r="C14" s="183"/>
      <c r="D14" s="183"/>
      <c r="E14" s="183"/>
      <c r="F14" s="183"/>
      <c r="G14" s="183"/>
      <c r="H14" s="184"/>
      <c r="I14" s="183"/>
      <c r="J14" s="190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</row>
    <row r="15" spans="2:41" s="182" customFormat="1">
      <c r="B15" s="183"/>
      <c r="C15" s="183"/>
      <c r="D15" s="183"/>
      <c r="E15" s="183"/>
      <c r="F15" s="183"/>
      <c r="G15" s="183"/>
      <c r="H15" s="184"/>
      <c r="I15" s="183"/>
      <c r="J15" s="190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</row>
    <row r="16" spans="2:41" s="182" customFormat="1">
      <c r="B16" s="183"/>
      <c r="C16" s="183"/>
      <c r="D16" s="183"/>
      <c r="E16" s="183"/>
      <c r="F16" s="183"/>
      <c r="G16" s="183"/>
      <c r="H16" s="184"/>
      <c r="I16" s="183"/>
      <c r="J16" s="190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</row>
    <row r="17" spans="2:41" s="182" customFormat="1">
      <c r="B17" s="183"/>
      <c r="C17" s="183"/>
      <c r="D17" s="183"/>
      <c r="E17" s="183"/>
      <c r="F17" s="183"/>
      <c r="G17" s="183"/>
      <c r="H17" s="184"/>
      <c r="I17" s="183"/>
      <c r="J17" s="190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</row>
    <row r="18" spans="2:41" s="182" customFormat="1">
      <c r="B18" s="183"/>
      <c r="C18" s="183"/>
      <c r="D18" s="183"/>
      <c r="E18" s="183"/>
      <c r="F18" s="183"/>
      <c r="G18" s="183"/>
      <c r="H18" s="184"/>
      <c r="I18" s="183"/>
      <c r="J18" s="190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2:41" s="182" customFormat="1">
      <c r="B19" s="183"/>
      <c r="C19" s="183"/>
      <c r="D19" s="183"/>
      <c r="E19" s="183"/>
      <c r="F19" s="183"/>
      <c r="G19" s="183"/>
      <c r="H19" s="184"/>
      <c r="I19" s="183"/>
      <c r="J19" s="190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</row>
    <row r="20" spans="2:41" s="182" customFormat="1">
      <c r="B20" s="183"/>
      <c r="C20" s="183"/>
      <c r="D20" s="183"/>
      <c r="E20" s="183"/>
      <c r="F20" s="183"/>
      <c r="G20" s="183"/>
      <c r="H20" s="184"/>
      <c r="I20" s="183"/>
      <c r="J20" s="190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</row>
    <row r="21" spans="2:41" s="182" customFormat="1">
      <c r="B21" s="183"/>
      <c r="C21" s="183"/>
      <c r="D21" s="183"/>
      <c r="E21" s="183"/>
      <c r="F21" s="183"/>
      <c r="G21" s="183"/>
      <c r="H21" s="184"/>
      <c r="I21" s="183"/>
      <c r="J21" s="190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</row>
    <row r="22" spans="2:41" s="182" customFormat="1">
      <c r="B22" s="183"/>
      <c r="C22" s="183"/>
      <c r="D22" s="183"/>
      <c r="E22" s="183"/>
      <c r="F22" s="183"/>
      <c r="G22" s="183"/>
      <c r="H22" s="184"/>
      <c r="I22" s="183"/>
      <c r="J22" s="190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</row>
    <row r="23" spans="2:41" s="182" customFormat="1">
      <c r="B23" s="183"/>
      <c r="C23" s="183"/>
      <c r="D23" s="183"/>
      <c r="E23" s="183"/>
      <c r="F23" s="183"/>
      <c r="G23" s="183"/>
      <c r="H23" s="184"/>
      <c r="I23" s="183"/>
      <c r="J23" s="190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</row>
    <row r="24" spans="2:41" s="182" customFormat="1">
      <c r="B24" s="183"/>
      <c r="C24" s="183"/>
      <c r="D24" s="183"/>
      <c r="E24" s="183"/>
      <c r="F24" s="183"/>
      <c r="G24" s="183"/>
      <c r="H24" s="184"/>
      <c r="I24" s="183"/>
      <c r="J24" s="190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</row>
    <row r="25" spans="2:41" s="182" customFormat="1">
      <c r="B25" s="183"/>
      <c r="C25" s="183"/>
      <c r="D25" s="183"/>
      <c r="E25" s="183"/>
      <c r="F25" s="183"/>
      <c r="G25" s="183"/>
      <c r="H25" s="184"/>
      <c r="I25" s="183"/>
      <c r="J25" s="190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</row>
    <row r="26" spans="2:41" s="182" customFormat="1">
      <c r="B26" s="183"/>
      <c r="C26" s="183"/>
      <c r="D26" s="183"/>
      <c r="E26" s="183"/>
      <c r="F26" s="183"/>
      <c r="G26" s="183"/>
      <c r="H26" s="184"/>
      <c r="I26" s="183"/>
      <c r="J26" s="190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</row>
    <row r="27" spans="2:41" s="182" customFormat="1">
      <c r="B27" s="183"/>
      <c r="C27" s="183"/>
      <c r="D27" s="183"/>
      <c r="E27" s="183"/>
      <c r="F27" s="183"/>
      <c r="G27" s="183"/>
      <c r="H27" s="184"/>
      <c r="I27" s="183"/>
      <c r="J27" s="190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</row>
    <row r="28" spans="2:41" s="182" customFormat="1">
      <c r="B28" s="183"/>
      <c r="C28" s="183"/>
      <c r="D28" s="183"/>
      <c r="E28" s="183"/>
      <c r="F28" s="183"/>
      <c r="G28" s="183"/>
      <c r="H28" s="184"/>
      <c r="I28" s="183"/>
      <c r="J28" s="190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</row>
    <row r="29" spans="2:41" s="182" customFormat="1">
      <c r="B29" s="183"/>
      <c r="C29" s="183"/>
      <c r="D29" s="183"/>
      <c r="E29" s="183"/>
      <c r="F29" s="183"/>
      <c r="G29" s="183"/>
      <c r="H29" s="184"/>
      <c r="I29" s="183"/>
      <c r="J29" s="190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</row>
    <row r="30" spans="2:41" s="182" customFormat="1">
      <c r="B30" s="183"/>
      <c r="C30" s="183"/>
      <c r="D30" s="183"/>
      <c r="E30" s="183"/>
      <c r="F30" s="183"/>
      <c r="G30" s="183"/>
      <c r="H30" s="184"/>
      <c r="I30" s="183"/>
      <c r="J30" s="190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</row>
    <row r="31" spans="2:41" s="182" customFormat="1">
      <c r="B31" s="183"/>
      <c r="C31" s="183"/>
      <c r="D31" s="183"/>
      <c r="E31" s="183"/>
      <c r="F31" s="183"/>
      <c r="G31" s="183"/>
      <c r="H31" s="184"/>
      <c r="I31" s="183"/>
      <c r="J31" s="190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</row>
    <row r="32" spans="2:41" s="182" customFormat="1">
      <c r="B32" s="183"/>
      <c r="C32" s="183"/>
      <c r="D32" s="183"/>
      <c r="E32" s="183"/>
      <c r="F32" s="183"/>
      <c r="G32" s="183"/>
      <c r="H32" s="184"/>
      <c r="I32" s="183"/>
      <c r="J32" s="190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</row>
    <row r="33" spans="2:41" s="182" customFormat="1">
      <c r="B33" s="183"/>
      <c r="C33" s="183"/>
      <c r="D33" s="183"/>
      <c r="E33" s="183"/>
      <c r="F33" s="183"/>
      <c r="G33" s="183"/>
      <c r="H33" s="184"/>
      <c r="I33" s="183"/>
      <c r="J33" s="190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</row>
    <row r="34" spans="2:41" s="182" customFormat="1">
      <c r="B34" s="183"/>
      <c r="C34" s="183"/>
      <c r="D34" s="183"/>
      <c r="E34" s="183"/>
      <c r="F34" s="183"/>
      <c r="G34" s="183"/>
      <c r="H34" s="184"/>
      <c r="I34" s="183"/>
      <c r="J34" s="190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</row>
    <row r="35" spans="2:41" s="182" customFormat="1">
      <c r="B35" s="183"/>
      <c r="C35" s="183"/>
      <c r="D35" s="183"/>
      <c r="E35" s="183"/>
      <c r="F35" s="183"/>
      <c r="G35" s="183"/>
      <c r="H35" s="184"/>
      <c r="I35" s="183"/>
      <c r="J35" s="190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</row>
    <row r="36" spans="2:41" s="182" customFormat="1">
      <c r="B36" s="183"/>
      <c r="C36" s="183"/>
      <c r="D36" s="183"/>
      <c r="E36" s="183"/>
      <c r="F36" s="183"/>
      <c r="G36" s="183"/>
      <c r="H36" s="184"/>
      <c r="I36" s="183"/>
      <c r="J36" s="190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</row>
    <row r="37" spans="2:41" s="182" customFormat="1">
      <c r="B37" s="183"/>
      <c r="C37" s="183"/>
      <c r="D37" s="183"/>
      <c r="E37" s="183"/>
      <c r="F37" s="183"/>
      <c r="G37" s="183"/>
      <c r="H37" s="184"/>
      <c r="I37" s="183"/>
      <c r="J37" s="190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</row>
    <row r="38" spans="2:41" s="182" customFormat="1">
      <c r="B38" s="183"/>
      <c r="C38" s="183"/>
      <c r="D38" s="183"/>
      <c r="E38" s="183"/>
      <c r="F38" s="183"/>
      <c r="G38" s="183"/>
      <c r="H38" s="184"/>
      <c r="I38" s="183"/>
      <c r="J38" s="190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</row>
    <row r="39" spans="2:41" s="182" customFormat="1">
      <c r="B39" s="183"/>
      <c r="C39" s="183"/>
      <c r="D39" s="183"/>
      <c r="E39" s="183"/>
      <c r="F39" s="183"/>
      <c r="G39" s="183"/>
      <c r="H39" s="184"/>
      <c r="I39" s="183"/>
      <c r="J39" s="190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</row>
    <row r="40" spans="2:41" s="182" customFormat="1">
      <c r="B40" s="183"/>
      <c r="C40" s="183"/>
      <c r="D40" s="183"/>
      <c r="E40" s="183"/>
      <c r="F40" s="183"/>
      <c r="G40" s="183"/>
      <c r="H40" s="184"/>
      <c r="I40" s="183"/>
      <c r="J40" s="190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2:41" s="182" customFormat="1">
      <c r="B41" s="183"/>
      <c r="C41" s="183"/>
      <c r="D41" s="183"/>
      <c r="E41" s="183"/>
      <c r="F41" s="183"/>
      <c r="G41" s="183"/>
      <c r="H41" s="184"/>
      <c r="I41" s="183"/>
      <c r="J41" s="190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2:41" s="182" customFormat="1">
      <c r="B42" s="183"/>
      <c r="C42" s="183"/>
      <c r="D42" s="183"/>
      <c r="E42" s="183"/>
      <c r="F42" s="183"/>
      <c r="G42" s="183"/>
      <c r="H42" s="184"/>
      <c r="I42" s="183"/>
      <c r="J42" s="190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2:41" s="182" customFormat="1">
      <c r="B43" s="183"/>
      <c r="C43" s="183"/>
      <c r="D43" s="183"/>
      <c r="E43" s="183"/>
      <c r="F43" s="183"/>
      <c r="G43" s="183"/>
      <c r="H43" s="184"/>
      <c r="I43" s="183"/>
      <c r="J43" s="190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2:41" s="182" customFormat="1">
      <c r="B44" s="183"/>
      <c r="C44" s="183"/>
      <c r="D44" s="183"/>
      <c r="E44" s="183"/>
      <c r="F44" s="183"/>
      <c r="G44" s="183"/>
      <c r="H44" s="184"/>
      <c r="I44" s="183"/>
      <c r="J44" s="190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</row>
    <row r="45" spans="2:41" s="182" customFormat="1">
      <c r="B45" s="183"/>
      <c r="C45" s="183"/>
      <c r="D45" s="183"/>
      <c r="E45" s="183"/>
      <c r="F45" s="183"/>
      <c r="G45" s="183"/>
      <c r="H45" s="184"/>
      <c r="I45" s="183"/>
      <c r="J45" s="190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</row>
    <row r="46" spans="2:41" s="182" customFormat="1">
      <c r="B46" s="183"/>
      <c r="C46" s="183"/>
      <c r="D46" s="183"/>
      <c r="E46" s="183"/>
      <c r="F46" s="183"/>
      <c r="G46" s="183"/>
      <c r="H46" s="184"/>
      <c r="I46" s="183"/>
      <c r="J46" s="190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</row>
    <row r="47" spans="2:41" s="182" customFormat="1">
      <c r="B47" s="183"/>
      <c r="C47" s="183"/>
      <c r="D47" s="183"/>
      <c r="E47" s="183"/>
      <c r="F47" s="183"/>
      <c r="G47" s="183"/>
      <c r="H47" s="184"/>
      <c r="I47" s="183"/>
      <c r="J47" s="190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</row>
    <row r="48" spans="2:41" s="182" customFormat="1">
      <c r="B48" s="183"/>
      <c r="C48" s="183"/>
      <c r="D48" s="183"/>
      <c r="E48" s="183"/>
      <c r="F48" s="183"/>
      <c r="G48" s="183"/>
      <c r="H48" s="184"/>
      <c r="I48" s="183"/>
      <c r="J48" s="190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</row>
    <row r="49" spans="2:41" s="182" customFormat="1">
      <c r="B49" s="183"/>
      <c r="C49" s="183"/>
      <c r="D49" s="183"/>
      <c r="E49" s="183"/>
      <c r="F49" s="183"/>
      <c r="G49" s="183"/>
      <c r="H49" s="184"/>
      <c r="I49" s="183"/>
      <c r="J49" s="190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</row>
    <row r="50" spans="2:41" s="182" customFormat="1">
      <c r="B50" s="183"/>
      <c r="C50" s="183"/>
      <c r="D50" s="183"/>
      <c r="E50" s="183"/>
      <c r="F50" s="183"/>
      <c r="G50" s="183"/>
      <c r="H50" s="184"/>
      <c r="I50" s="183"/>
      <c r="J50" s="190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</row>
    <row r="51" spans="2:41" s="182" customFormat="1">
      <c r="B51" s="183"/>
      <c r="C51" s="183"/>
      <c r="D51" s="183"/>
      <c r="E51" s="183"/>
      <c r="F51" s="183"/>
      <c r="G51" s="183"/>
      <c r="H51" s="184"/>
      <c r="I51" s="183"/>
      <c r="J51" s="190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</row>
    <row r="52" spans="2:41" s="182" customFormat="1">
      <c r="B52" s="183"/>
      <c r="C52" s="183"/>
      <c r="D52" s="183"/>
      <c r="E52" s="183"/>
      <c r="F52" s="183"/>
      <c r="G52" s="183"/>
      <c r="H52" s="184"/>
      <c r="I52" s="183"/>
      <c r="J52" s="190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</row>
    <row r="53" spans="2:41" s="182" customFormat="1">
      <c r="B53" s="183"/>
      <c r="C53" s="183"/>
      <c r="D53" s="183"/>
      <c r="E53" s="183"/>
      <c r="F53" s="183"/>
      <c r="G53" s="183"/>
      <c r="H53" s="184"/>
      <c r="I53" s="183"/>
      <c r="J53" s="190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</row>
    <row r="54" spans="2:41" s="182" customFormat="1">
      <c r="B54" s="183"/>
      <c r="C54" s="183"/>
      <c r="D54" s="183"/>
      <c r="E54" s="183"/>
      <c r="F54" s="183"/>
      <c r="G54" s="183"/>
      <c r="H54" s="184"/>
      <c r="I54" s="183"/>
      <c r="J54" s="190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</row>
    <row r="55" spans="2:41" s="182" customFormat="1">
      <c r="B55" s="183"/>
      <c r="C55" s="183"/>
      <c r="D55" s="183"/>
      <c r="E55" s="183"/>
      <c r="F55" s="183"/>
      <c r="G55" s="183"/>
      <c r="H55" s="184"/>
      <c r="I55" s="183"/>
      <c r="J55" s="190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</row>
    <row r="56" spans="2:41" s="182" customFormat="1">
      <c r="B56" s="183"/>
      <c r="C56" s="183"/>
      <c r="D56" s="183"/>
      <c r="E56" s="183"/>
      <c r="F56" s="183"/>
      <c r="G56" s="183"/>
      <c r="H56" s="184"/>
      <c r="I56" s="183"/>
      <c r="J56" s="190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</row>
    <row r="57" spans="2:41" s="182" customFormat="1">
      <c r="B57" s="183"/>
      <c r="C57" s="183"/>
      <c r="D57" s="183"/>
      <c r="E57" s="183"/>
      <c r="F57" s="183"/>
      <c r="G57" s="183"/>
      <c r="H57" s="184"/>
      <c r="I57" s="183"/>
      <c r="J57" s="190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</row>
    <row r="58" spans="2:41" s="182" customFormat="1">
      <c r="B58" s="183"/>
      <c r="C58" s="183"/>
      <c r="D58" s="183"/>
      <c r="E58" s="183"/>
      <c r="F58" s="183"/>
      <c r="G58" s="183"/>
      <c r="H58" s="184"/>
      <c r="I58" s="183"/>
      <c r="J58" s="190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</row>
    <row r="59" spans="2:41" s="182" customFormat="1">
      <c r="B59" s="183"/>
      <c r="C59" s="183"/>
      <c r="D59" s="183"/>
      <c r="E59" s="183"/>
      <c r="F59" s="183"/>
      <c r="G59" s="183"/>
      <c r="H59" s="184"/>
      <c r="I59" s="183"/>
      <c r="J59" s="190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</row>
    <row r="60" spans="2:41" s="182" customFormat="1">
      <c r="B60" s="183"/>
      <c r="C60" s="183"/>
      <c r="D60" s="183"/>
      <c r="E60" s="183"/>
      <c r="F60" s="183"/>
      <c r="G60" s="183"/>
      <c r="H60" s="184"/>
      <c r="I60" s="183"/>
      <c r="J60" s="190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</row>
    <row r="61" spans="2:41" s="182" customFormat="1">
      <c r="B61" s="183"/>
      <c r="C61" s="183"/>
      <c r="D61" s="183"/>
      <c r="E61" s="183"/>
      <c r="F61" s="183"/>
      <c r="G61" s="183"/>
      <c r="H61" s="184"/>
      <c r="I61" s="183"/>
      <c r="J61" s="190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</row>
    <row r="62" spans="2:41" s="182" customFormat="1">
      <c r="B62" s="183"/>
      <c r="C62" s="183"/>
      <c r="D62" s="183"/>
      <c r="E62" s="183"/>
      <c r="F62" s="183"/>
      <c r="G62" s="183"/>
      <c r="H62" s="184"/>
      <c r="I62" s="183"/>
      <c r="J62" s="190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</row>
    <row r="63" spans="2:41" s="182" customFormat="1">
      <c r="B63" s="183"/>
      <c r="C63" s="183"/>
      <c r="D63" s="183"/>
      <c r="E63" s="183"/>
      <c r="F63" s="183"/>
      <c r="G63" s="183"/>
      <c r="H63" s="184"/>
      <c r="I63" s="183"/>
      <c r="J63" s="190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</row>
    <row r="64" spans="2:41" s="182" customFormat="1">
      <c r="B64" s="183"/>
      <c r="C64" s="183"/>
      <c r="D64" s="183"/>
      <c r="E64" s="183"/>
      <c r="F64" s="183"/>
      <c r="G64" s="183"/>
      <c r="H64" s="184"/>
      <c r="I64" s="183"/>
      <c r="J64" s="190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</row>
    <row r="65" spans="2:41" s="182" customFormat="1">
      <c r="B65" s="183"/>
      <c r="C65" s="183"/>
      <c r="D65" s="183"/>
      <c r="E65" s="183"/>
      <c r="F65" s="183"/>
      <c r="G65" s="183"/>
      <c r="H65" s="184"/>
      <c r="I65" s="183"/>
      <c r="J65" s="190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</row>
    <row r="66" spans="2:41" s="182" customFormat="1">
      <c r="B66" s="183"/>
      <c r="C66" s="183"/>
      <c r="D66" s="183"/>
      <c r="E66" s="183"/>
      <c r="F66" s="183"/>
      <c r="G66" s="183"/>
      <c r="H66" s="184"/>
      <c r="I66" s="183"/>
      <c r="J66" s="190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</row>
    <row r="67" spans="2:41" s="182" customFormat="1">
      <c r="B67" s="183"/>
      <c r="C67" s="183"/>
      <c r="D67" s="183"/>
      <c r="E67" s="183"/>
      <c r="F67" s="183"/>
      <c r="G67" s="183"/>
      <c r="H67" s="184"/>
      <c r="I67" s="183"/>
      <c r="J67" s="190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</row>
    <row r="68" spans="2:41" s="182" customFormat="1">
      <c r="B68" s="183"/>
      <c r="C68" s="183"/>
      <c r="D68" s="183"/>
      <c r="E68" s="183"/>
      <c r="F68" s="183"/>
      <c r="G68" s="183"/>
      <c r="H68" s="184"/>
      <c r="I68" s="183"/>
      <c r="J68" s="190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</row>
    <row r="69" spans="2:41" s="182" customFormat="1">
      <c r="B69" s="183"/>
      <c r="C69" s="183"/>
      <c r="D69" s="183"/>
      <c r="E69" s="183"/>
      <c r="F69" s="183"/>
      <c r="G69" s="183"/>
      <c r="H69" s="184"/>
      <c r="I69" s="183"/>
      <c r="J69" s="190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</row>
    <row r="70" spans="2:41" s="182" customFormat="1">
      <c r="B70" s="183"/>
      <c r="C70" s="183"/>
      <c r="D70" s="183"/>
      <c r="E70" s="183"/>
      <c r="F70" s="183"/>
      <c r="G70" s="183"/>
      <c r="H70" s="184"/>
      <c r="I70" s="183"/>
      <c r="J70" s="190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</row>
  </sheetData>
  <sheetProtection password="F585" sheet="1" objects="1" scenarios="1" formatCells="0" formatColumns="0"/>
  <customSheetViews>
    <customSheetView guid="{7D5A2C9F-3ABE-4F29-B54C-C3E3AA98CA69}" scale="85" showPageBreaks="1" printArea="1" hiddenColumns="1" view="pageBreakPreview">
      <pane xSplit="11" ySplit="1" topLeftCell="L2" activePane="bottomRight" state="frozen"/>
      <selection pane="bottomRight" activeCell="M36" sqref="M36"/>
      <colBreaks count="1" manualBreakCount="1">
        <brk id="23" max="7" man="1"/>
      </colBreaks>
      <pageMargins left="7.874015748031496E-2" right="7.874015748031496E-2" top="0.98425196850393704" bottom="0.74803149606299213" header="0.31496062992125984" footer="0.31496062992125984"/>
      <printOptions horizontalCentered="1"/>
      <pageSetup paperSize="9" scale="69" fitToWidth="2" orientation="landscape" horizontalDpi="0" verticalDpi="0" r:id="rId1"/>
      <headerFooter>
        <oddHeader>&amp;R&amp;G</oddHeader>
      </headerFooter>
    </customSheetView>
  </customSheetViews>
  <printOptions horizontalCentered="1"/>
  <pageMargins left="7.874015748031496E-2" right="7.874015748031496E-2" top="0.98425196850393704" bottom="0.74803149606299213" header="0.31496062992125984" footer="0.31496062992125984"/>
  <pageSetup paperSize="9" scale="69" fitToWidth="2" orientation="landscape" horizontalDpi="0" verticalDpi="0" r:id="rId2"/>
  <headerFooter>
    <oddHeader>&amp;R&amp;G</oddHeader>
  </headerFooter>
  <colBreaks count="1" manualBreakCount="1">
    <brk id="23" max="7" man="1"/>
  </colBreak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K17"/>
  <sheetViews>
    <sheetView zoomScale="75" zoomScaleNormal="7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13" sqref="L13:AJ13"/>
    </sheetView>
  </sheetViews>
  <sheetFormatPr defaultColWidth="0" defaultRowHeight="12.75"/>
  <cols>
    <col min="1" max="1" width="2.7109375" style="26" customWidth="1"/>
    <col min="2" max="3" width="2.7109375" style="17" customWidth="1"/>
    <col min="4" max="6" width="9.140625" style="17" customWidth="1"/>
    <col min="7" max="7" width="2.7109375" style="17" customWidth="1"/>
    <col min="8" max="8" width="10.7109375" style="18" customWidth="1"/>
    <col min="9" max="9" width="1.7109375" style="17" customWidth="1"/>
    <col min="10" max="10" width="12.5703125" style="19" bestFit="1" customWidth="1"/>
    <col min="11" max="11" width="1.7109375" style="17" customWidth="1"/>
    <col min="12" max="36" width="11.5703125" style="17" bestFit="1" customWidth="1"/>
    <col min="37" max="37" width="1.7109375" style="26" customWidth="1"/>
    <col min="38" max="16384" width="9.140625" style="17" hidden="1"/>
  </cols>
  <sheetData>
    <row r="1" spans="1:37" s="10" customFormat="1">
      <c r="A1" s="102"/>
      <c r="H1" s="10" t="s">
        <v>3</v>
      </c>
      <c r="J1" s="16" t="s">
        <v>2</v>
      </c>
      <c r="L1" s="10">
        <v>2022</v>
      </c>
      <c r="M1" s="10">
        <v>2023</v>
      </c>
      <c r="N1" s="10">
        <v>2024</v>
      </c>
      <c r="O1" s="10">
        <v>2025</v>
      </c>
      <c r="P1" s="10">
        <v>2026</v>
      </c>
      <c r="Q1" s="10">
        <v>2027</v>
      </c>
      <c r="R1" s="10">
        <v>2028</v>
      </c>
      <c r="S1" s="10">
        <v>2029</v>
      </c>
      <c r="T1" s="10">
        <v>2030</v>
      </c>
      <c r="U1" s="10">
        <v>2031</v>
      </c>
      <c r="V1" s="10">
        <v>2032</v>
      </c>
      <c r="W1" s="10">
        <v>2033</v>
      </c>
      <c r="X1" s="10">
        <v>2034</v>
      </c>
      <c r="Y1" s="10">
        <v>2035</v>
      </c>
      <c r="Z1" s="10">
        <v>2036</v>
      </c>
      <c r="AA1" s="10">
        <v>2037</v>
      </c>
      <c r="AB1" s="10">
        <v>2038</v>
      </c>
      <c r="AC1" s="10">
        <v>2039</v>
      </c>
      <c r="AD1" s="10">
        <v>2040</v>
      </c>
      <c r="AE1" s="10">
        <v>2041</v>
      </c>
      <c r="AF1" s="10">
        <v>2042</v>
      </c>
      <c r="AG1" s="10">
        <v>2043</v>
      </c>
      <c r="AH1" s="10">
        <v>2044</v>
      </c>
      <c r="AI1" s="10">
        <v>2045</v>
      </c>
      <c r="AJ1" s="10">
        <v>2046</v>
      </c>
      <c r="AK1" s="102"/>
    </row>
    <row r="2" spans="1:37" s="28" customFormat="1" ht="13.5" thickBot="1">
      <c r="A2" s="103"/>
      <c r="B2" s="28" t="s">
        <v>58</v>
      </c>
      <c r="H2" s="31" t="s">
        <v>4</v>
      </c>
      <c r="J2" s="28">
        <f>SUM(L2:AJ2)</f>
        <v>250000</v>
      </c>
      <c r="L2" s="36">
        <v>140000</v>
      </c>
      <c r="M2" s="36">
        <v>10000</v>
      </c>
      <c r="N2" s="36">
        <v>100000</v>
      </c>
      <c r="AK2" s="103"/>
    </row>
    <row r="3" spans="1:37" s="29" customFormat="1">
      <c r="A3" s="103"/>
      <c r="H3" s="33"/>
      <c r="AK3" s="103"/>
    </row>
    <row r="4" spans="1:37" s="28" customFormat="1" ht="13.5" thickBot="1">
      <c r="A4" s="103"/>
      <c r="B4" s="30" t="s">
        <v>60</v>
      </c>
      <c r="C4" s="30"/>
      <c r="D4" s="30"/>
      <c r="E4" s="30"/>
      <c r="F4" s="30"/>
      <c r="G4" s="30"/>
      <c r="H4" s="35" t="s">
        <v>4</v>
      </c>
      <c r="I4" s="30"/>
      <c r="J4" s="30">
        <f>SUM(L4:AJ4)</f>
        <v>250000</v>
      </c>
      <c r="K4" s="30"/>
      <c r="L4" s="30">
        <f>SUM(L2)</f>
        <v>140000</v>
      </c>
      <c r="M4" s="30">
        <f t="shared" ref="M4:AJ4" si="0">SUM(M2)</f>
        <v>10000</v>
      </c>
      <c r="N4" s="30">
        <f t="shared" si="0"/>
        <v>100000</v>
      </c>
      <c r="O4" s="30">
        <f t="shared" si="0"/>
        <v>0</v>
      </c>
      <c r="P4" s="30">
        <f t="shared" si="0"/>
        <v>0</v>
      </c>
      <c r="Q4" s="30">
        <f t="shared" si="0"/>
        <v>0</v>
      </c>
      <c r="R4" s="30">
        <f t="shared" si="0"/>
        <v>0</v>
      </c>
      <c r="S4" s="30">
        <f t="shared" si="0"/>
        <v>0</v>
      </c>
      <c r="T4" s="30">
        <f t="shared" si="0"/>
        <v>0</v>
      </c>
      <c r="U4" s="30">
        <f t="shared" si="0"/>
        <v>0</v>
      </c>
      <c r="V4" s="30">
        <f t="shared" si="0"/>
        <v>0</v>
      </c>
      <c r="W4" s="30">
        <f t="shared" si="0"/>
        <v>0</v>
      </c>
      <c r="X4" s="30">
        <f t="shared" si="0"/>
        <v>0</v>
      </c>
      <c r="Y4" s="30">
        <f t="shared" si="0"/>
        <v>0</v>
      </c>
      <c r="Z4" s="30">
        <f t="shared" si="0"/>
        <v>0</v>
      </c>
      <c r="AA4" s="30">
        <f t="shared" si="0"/>
        <v>0</v>
      </c>
      <c r="AB4" s="30">
        <f t="shared" si="0"/>
        <v>0</v>
      </c>
      <c r="AC4" s="30">
        <f t="shared" si="0"/>
        <v>0</v>
      </c>
      <c r="AD4" s="30">
        <f t="shared" si="0"/>
        <v>0</v>
      </c>
      <c r="AE4" s="30">
        <f t="shared" si="0"/>
        <v>0</v>
      </c>
      <c r="AF4" s="30">
        <f t="shared" si="0"/>
        <v>0</v>
      </c>
      <c r="AG4" s="30">
        <f t="shared" si="0"/>
        <v>0</v>
      </c>
      <c r="AH4" s="30">
        <f t="shared" si="0"/>
        <v>0</v>
      </c>
      <c r="AI4" s="30">
        <f t="shared" si="0"/>
        <v>0</v>
      </c>
      <c r="AJ4" s="30">
        <f t="shared" si="0"/>
        <v>0</v>
      </c>
      <c r="AK4" s="103"/>
    </row>
    <row r="5" spans="1:37" s="29" customFormat="1" ht="13.5" thickTop="1">
      <c r="A5" s="103"/>
      <c r="H5" s="33"/>
      <c r="AK5" s="103"/>
    </row>
    <row r="6" spans="1:37" s="29" customFormat="1">
      <c r="A6" s="103"/>
      <c r="B6" s="29" t="s">
        <v>59</v>
      </c>
      <c r="H6" s="33" t="s">
        <v>4</v>
      </c>
      <c r="J6" s="29">
        <f>SUM(L6:AJ6)</f>
        <v>41666.666666666672</v>
      </c>
      <c r="L6" s="29">
        <f t="shared" ref="L6:AJ6" si="1">L2/1.2*0.2</f>
        <v>23333.333333333336</v>
      </c>
      <c r="M6" s="29">
        <f t="shared" si="1"/>
        <v>1666.666666666667</v>
      </c>
      <c r="N6" s="29">
        <f t="shared" si="1"/>
        <v>16666.666666666668</v>
      </c>
      <c r="O6" s="29">
        <f t="shared" si="1"/>
        <v>0</v>
      </c>
      <c r="P6" s="29">
        <f t="shared" si="1"/>
        <v>0</v>
      </c>
      <c r="Q6" s="29">
        <f t="shared" si="1"/>
        <v>0</v>
      </c>
      <c r="R6" s="29">
        <f t="shared" si="1"/>
        <v>0</v>
      </c>
      <c r="S6" s="29">
        <f t="shared" si="1"/>
        <v>0</v>
      </c>
      <c r="T6" s="29">
        <f t="shared" si="1"/>
        <v>0</v>
      </c>
      <c r="U6" s="29">
        <f t="shared" si="1"/>
        <v>0</v>
      </c>
      <c r="V6" s="29">
        <f t="shared" si="1"/>
        <v>0</v>
      </c>
      <c r="W6" s="29">
        <f t="shared" si="1"/>
        <v>0</v>
      </c>
      <c r="X6" s="29">
        <f t="shared" si="1"/>
        <v>0</v>
      </c>
      <c r="Y6" s="29">
        <f t="shared" si="1"/>
        <v>0</v>
      </c>
      <c r="Z6" s="29">
        <f t="shared" si="1"/>
        <v>0</v>
      </c>
      <c r="AA6" s="29">
        <f t="shared" si="1"/>
        <v>0</v>
      </c>
      <c r="AB6" s="29">
        <f t="shared" si="1"/>
        <v>0</v>
      </c>
      <c r="AC6" s="29">
        <f t="shared" si="1"/>
        <v>0</v>
      </c>
      <c r="AD6" s="29">
        <f t="shared" si="1"/>
        <v>0</v>
      </c>
      <c r="AE6" s="29">
        <f t="shared" si="1"/>
        <v>0</v>
      </c>
      <c r="AF6" s="29">
        <f t="shared" si="1"/>
        <v>0</v>
      </c>
      <c r="AG6" s="29">
        <f t="shared" si="1"/>
        <v>0</v>
      </c>
      <c r="AH6" s="29">
        <f t="shared" si="1"/>
        <v>0</v>
      </c>
      <c r="AI6" s="29">
        <f t="shared" si="1"/>
        <v>0</v>
      </c>
      <c r="AJ6" s="29">
        <f t="shared" si="1"/>
        <v>0</v>
      </c>
      <c r="AK6" s="103"/>
    </row>
    <row r="7" spans="1:37" s="8" customFormat="1">
      <c r="A7" s="84"/>
      <c r="B7" s="8" t="s">
        <v>62</v>
      </c>
      <c r="H7" s="37" t="s">
        <v>8</v>
      </c>
      <c r="J7" s="27">
        <v>0.8</v>
      </c>
      <c r="AK7" s="84"/>
    </row>
    <row r="8" spans="1:37" s="29" customFormat="1">
      <c r="A8" s="103"/>
      <c r="B8" s="29" t="s">
        <v>61</v>
      </c>
      <c r="H8" s="33" t="s">
        <v>4</v>
      </c>
      <c r="J8" s="29">
        <f>SUM(L8:AJ8)</f>
        <v>33333.333333333336</v>
      </c>
      <c r="M8" s="29">
        <f>L6*$J$7</f>
        <v>18666.666666666668</v>
      </c>
      <c r="N8" s="29">
        <f t="shared" ref="N8:AJ8" si="2">M6*$J$7</f>
        <v>1333.3333333333337</v>
      </c>
      <c r="O8" s="29">
        <f t="shared" si="2"/>
        <v>13333.333333333336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0</v>
      </c>
      <c r="U8" s="29">
        <f t="shared" si="2"/>
        <v>0</v>
      </c>
      <c r="V8" s="29">
        <f t="shared" si="2"/>
        <v>0</v>
      </c>
      <c r="W8" s="29">
        <f t="shared" si="2"/>
        <v>0</v>
      </c>
      <c r="X8" s="29">
        <f t="shared" si="2"/>
        <v>0</v>
      </c>
      <c r="Y8" s="29">
        <f t="shared" si="2"/>
        <v>0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0</v>
      </c>
      <c r="AH8" s="29">
        <f t="shared" si="2"/>
        <v>0</v>
      </c>
      <c r="AI8" s="29">
        <f t="shared" si="2"/>
        <v>0</v>
      </c>
      <c r="AJ8" s="29">
        <f t="shared" si="2"/>
        <v>0</v>
      </c>
      <c r="AK8" s="103"/>
    </row>
    <row r="9" spans="1:37" s="29" customFormat="1">
      <c r="A9" s="103"/>
      <c r="B9" s="29" t="s">
        <v>71</v>
      </c>
      <c r="H9" s="33" t="s">
        <v>72</v>
      </c>
      <c r="J9" s="39">
        <v>25</v>
      </c>
      <c r="AK9" s="103"/>
    </row>
    <row r="10" spans="1:37" s="29" customFormat="1">
      <c r="A10" s="103"/>
      <c r="B10" s="29" t="s">
        <v>66</v>
      </c>
      <c r="H10" s="33" t="s">
        <v>4</v>
      </c>
      <c r="J10" s="29">
        <f>SUM(L10:AJ10)</f>
        <v>231600</v>
      </c>
      <c r="M10" s="29">
        <f>SUM($L$2:L2)/$J$9</f>
        <v>5600</v>
      </c>
      <c r="N10" s="29">
        <f>SUM($L$2:M2)/$J$9</f>
        <v>6000</v>
      </c>
      <c r="O10" s="29">
        <f>SUM($L$2:N2)/$J$9</f>
        <v>10000</v>
      </c>
      <c r="P10" s="29">
        <f>SUM($L$2:O2)/$J$9</f>
        <v>10000</v>
      </c>
      <c r="Q10" s="29">
        <f>SUM($L$2:P2)/$J$9</f>
        <v>10000</v>
      </c>
      <c r="R10" s="29">
        <f>SUM($L$2:Q2)/$J$9</f>
        <v>10000</v>
      </c>
      <c r="S10" s="29">
        <f>SUM($L$2:R2)/$J$9</f>
        <v>10000</v>
      </c>
      <c r="T10" s="29">
        <f>SUM($L$2:S2)/$J$9</f>
        <v>10000</v>
      </c>
      <c r="U10" s="29">
        <f>SUM($L$2:T2)/$J$9</f>
        <v>10000</v>
      </c>
      <c r="V10" s="29">
        <f>SUM($L$2:U2)/$J$9</f>
        <v>10000</v>
      </c>
      <c r="W10" s="29">
        <f>SUM($L$2:V2)/$J$9</f>
        <v>10000</v>
      </c>
      <c r="X10" s="29">
        <f>SUM($L$2:W2)/$J$9</f>
        <v>10000</v>
      </c>
      <c r="Y10" s="29">
        <f>SUM($L$2:X2)/$J$9</f>
        <v>10000</v>
      </c>
      <c r="Z10" s="29">
        <f>SUM($L$2:Y2)/$J$9</f>
        <v>10000</v>
      </c>
      <c r="AA10" s="29">
        <f>SUM($L$2:Z2)/$J$9</f>
        <v>10000</v>
      </c>
      <c r="AB10" s="29">
        <f>SUM($L$2:AA2)/$J$9</f>
        <v>10000</v>
      </c>
      <c r="AC10" s="29">
        <f>SUM($L$2:AB2)/$J$9</f>
        <v>10000</v>
      </c>
      <c r="AD10" s="29">
        <f>SUM($L$2:AC2)/$J$9</f>
        <v>10000</v>
      </c>
      <c r="AE10" s="29">
        <f>SUM($L$2:AD2)/$J$9</f>
        <v>10000</v>
      </c>
      <c r="AF10" s="29">
        <f>SUM($L$2:AE2)/$J$9</f>
        <v>10000</v>
      </c>
      <c r="AG10" s="29">
        <f>SUM($L$2:AF2)/$J$9</f>
        <v>10000</v>
      </c>
      <c r="AH10" s="29">
        <f>SUM($L$2:AG2)/$J$9</f>
        <v>10000</v>
      </c>
      <c r="AI10" s="29">
        <f>SUM($L$2:AH2)/$J$9</f>
        <v>10000</v>
      </c>
      <c r="AJ10" s="29">
        <f>SUM($L$2:AI2)/$J$9</f>
        <v>10000</v>
      </c>
      <c r="AK10" s="103"/>
    </row>
    <row r="11" spans="1:37" s="29" customFormat="1">
      <c r="A11" s="103"/>
      <c r="B11" s="29" t="s">
        <v>65</v>
      </c>
      <c r="H11" s="33" t="s">
        <v>4</v>
      </c>
      <c r="L11" s="29">
        <f>MAX(SUM($L$2:L2)-SUM($L$10:L10),0)</f>
        <v>140000</v>
      </c>
      <c r="M11" s="29">
        <f>MAX(SUM($L$2:M2)-SUM($L$10:M10),0)</f>
        <v>144400</v>
      </c>
      <c r="N11" s="29">
        <f>MAX(SUM($L$2:N2)-SUM($L$10:N10),0)</f>
        <v>238400</v>
      </c>
      <c r="O11" s="29">
        <f>MAX(SUM($L$2:O2)-SUM($L$10:O10),0)</f>
        <v>228400</v>
      </c>
      <c r="P11" s="29">
        <f>MAX(SUM($L$2:P2)-SUM($L$10:P10),0)</f>
        <v>218400</v>
      </c>
      <c r="Q11" s="29">
        <f>MAX(SUM($L$2:Q2)-SUM($L$10:Q10),0)</f>
        <v>208400</v>
      </c>
      <c r="R11" s="29">
        <f>MAX(SUM($L$2:R2)-SUM($L$10:R10),0)</f>
        <v>198400</v>
      </c>
      <c r="S11" s="29">
        <f>MAX(SUM($L$2:S2)-SUM($L$10:S10),0)</f>
        <v>188400</v>
      </c>
      <c r="T11" s="29">
        <f>MAX(SUM($L$2:T2)-SUM($L$10:T10),0)</f>
        <v>178400</v>
      </c>
      <c r="U11" s="29">
        <f>MAX(SUM($L$2:U2)-SUM($L$10:U10),0)</f>
        <v>168400</v>
      </c>
      <c r="V11" s="29">
        <f>MAX(SUM($L$2:V2)-SUM($L$10:V10),0)</f>
        <v>158400</v>
      </c>
      <c r="W11" s="29">
        <f>MAX(SUM($L$2:W2)-SUM($L$10:W10),0)</f>
        <v>148400</v>
      </c>
      <c r="X11" s="29">
        <f>MAX(SUM($L$2:X2)-SUM($L$10:X10),0)</f>
        <v>138400</v>
      </c>
      <c r="Y11" s="29">
        <f>MAX(SUM($L$2:Y2)-SUM($L$10:Y10),0)</f>
        <v>128400</v>
      </c>
      <c r="Z11" s="29">
        <f>MAX(SUM($L$2:Z2)-SUM($L$10:Z10),0)</f>
        <v>118400</v>
      </c>
      <c r="AA11" s="29">
        <f>MAX(SUM($L$2:AA2)-SUM($L$10:AA10),0)</f>
        <v>108400</v>
      </c>
      <c r="AB11" s="29">
        <f>MAX(SUM($L$2:AB2)-SUM($L$10:AB10),0)</f>
        <v>98400</v>
      </c>
      <c r="AC11" s="29">
        <f>MAX(SUM($L$2:AC2)-SUM($L$10:AC10),0)</f>
        <v>88400</v>
      </c>
      <c r="AD11" s="29">
        <f>MAX(SUM($L$2:AD2)-SUM($L$10:AD10),0)</f>
        <v>78400</v>
      </c>
      <c r="AE11" s="29">
        <f>MAX(SUM($L$2:AE2)-SUM($L$10:AE10),0)</f>
        <v>68400</v>
      </c>
      <c r="AF11" s="29">
        <f>MAX(SUM($L$2:AF2)-SUM($L$10:AF10),0)</f>
        <v>58400</v>
      </c>
      <c r="AG11" s="29">
        <f>MAX(SUM($L$2:AG2)-SUM($L$10:AG10),0)</f>
        <v>48400</v>
      </c>
      <c r="AH11" s="29">
        <f>MAX(SUM($L$2:AH2)-SUM($L$10:AH10),0)</f>
        <v>38400</v>
      </c>
      <c r="AI11" s="29">
        <f>MAX(SUM($L$2:AI2)-SUM($L$10:AI10),0)</f>
        <v>28400</v>
      </c>
      <c r="AJ11" s="29">
        <f>MAX(SUM($L$2:AJ2)-SUM($L$10:AJ10),0)</f>
        <v>18400</v>
      </c>
      <c r="AK11" s="103"/>
    </row>
    <row r="12" spans="1:37" s="8" customFormat="1">
      <c r="A12" s="84"/>
      <c r="B12" s="8" t="s">
        <v>63</v>
      </c>
      <c r="H12" s="37" t="s">
        <v>8</v>
      </c>
      <c r="J12" s="38">
        <v>2.1999999999999999E-2</v>
      </c>
      <c r="AK12" s="84"/>
    </row>
    <row r="13" spans="1:37" s="29" customFormat="1">
      <c r="A13" s="103"/>
      <c r="B13" s="29" t="s">
        <v>64</v>
      </c>
      <c r="H13" s="33" t="s">
        <v>4</v>
      </c>
      <c r="J13" s="29">
        <f>SUM(L13:AJ13)</f>
        <v>71227.200000000041</v>
      </c>
      <c r="L13" s="29">
        <f>L11*$J$12</f>
        <v>3080</v>
      </c>
      <c r="M13" s="29">
        <f t="shared" ref="M13:AJ13" si="3">M11*$J$12</f>
        <v>3176.7999999999997</v>
      </c>
      <c r="N13" s="29">
        <f t="shared" si="3"/>
        <v>5244.7999999999993</v>
      </c>
      <c r="O13" s="29">
        <f t="shared" si="3"/>
        <v>5024.7999999999993</v>
      </c>
      <c r="P13" s="29">
        <f t="shared" si="3"/>
        <v>4804.7999999999993</v>
      </c>
      <c r="Q13" s="29">
        <f t="shared" si="3"/>
        <v>4584.8</v>
      </c>
      <c r="R13" s="29">
        <f t="shared" si="3"/>
        <v>4364.8</v>
      </c>
      <c r="S13" s="29">
        <f t="shared" si="3"/>
        <v>4144.8</v>
      </c>
      <c r="T13" s="29">
        <f t="shared" si="3"/>
        <v>3924.7999999999997</v>
      </c>
      <c r="U13" s="29">
        <f t="shared" si="3"/>
        <v>3704.7999999999997</v>
      </c>
      <c r="V13" s="29">
        <f t="shared" si="3"/>
        <v>3484.7999999999997</v>
      </c>
      <c r="W13" s="29">
        <f t="shared" si="3"/>
        <v>3264.7999999999997</v>
      </c>
      <c r="X13" s="29">
        <f t="shared" si="3"/>
        <v>3044.7999999999997</v>
      </c>
      <c r="Y13" s="29">
        <f t="shared" si="3"/>
        <v>2824.7999999999997</v>
      </c>
      <c r="Z13" s="29">
        <f t="shared" si="3"/>
        <v>2604.7999999999997</v>
      </c>
      <c r="AA13" s="29">
        <f t="shared" si="3"/>
        <v>2384.7999999999997</v>
      </c>
      <c r="AB13" s="29">
        <f t="shared" si="3"/>
        <v>2164.7999999999997</v>
      </c>
      <c r="AC13" s="29">
        <f t="shared" si="3"/>
        <v>1944.8</v>
      </c>
      <c r="AD13" s="29">
        <f t="shared" si="3"/>
        <v>1724.8</v>
      </c>
      <c r="AE13" s="29">
        <f t="shared" si="3"/>
        <v>1504.8</v>
      </c>
      <c r="AF13" s="29">
        <f t="shared" si="3"/>
        <v>1284.8</v>
      </c>
      <c r="AG13" s="29">
        <f t="shared" si="3"/>
        <v>1064.8</v>
      </c>
      <c r="AH13" s="29">
        <f t="shared" si="3"/>
        <v>844.8</v>
      </c>
      <c r="AI13" s="29">
        <f t="shared" si="3"/>
        <v>624.79999999999995</v>
      </c>
      <c r="AJ13" s="29">
        <f t="shared" si="3"/>
        <v>404.79999999999995</v>
      </c>
      <c r="AK13" s="103"/>
    </row>
    <row r="14" spans="1:37"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7">
      <c r="J15" s="56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7"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2:36"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</sheetData>
  <customSheetViews>
    <customSheetView guid="{7D5A2C9F-3ABE-4F29-B54C-C3E3AA98CA69}" scale="75" showPageBreaks="1" fitToPage="1" printArea="1" hiddenColumns="1" state="veryHidden">
      <pane xSplit="11" ySplit="1" topLeftCell="L2" activePane="bottomRight" state="frozen"/>
      <selection pane="bottomRight" activeCell="L13" sqref="L13:AJ13"/>
      <pageMargins left="7.874015748031496E-2" right="7.874015748031496E-2" top="0.74803149606299213" bottom="0.74803149606299213" header="0.31496062992125984" footer="0.31496062992125984"/>
      <printOptions horizontalCentered="1"/>
      <pageSetup paperSize="9" scale="41" orientation="landscape" horizontalDpi="0" verticalDpi="0" r:id="rId1"/>
    </customSheetView>
  </customSheetViews>
  <printOptions horizontalCentered="1"/>
  <pageMargins left="7.874015748031496E-2" right="7.874015748031496E-2" top="0.74803149606299213" bottom="0.74803149606299213" header="0.31496062992125984" footer="0.31496062992125984"/>
  <pageSetup paperSize="9" scale="41" orientation="landscape" horizontalDpi="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theme="3" tint="-0.249977111117893"/>
  </sheetPr>
  <dimension ref="A1:AO97"/>
  <sheetViews>
    <sheetView view="pageBreakPreview" zoomScale="85" zoomScaleNormal="75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M85" sqref="M85"/>
    </sheetView>
  </sheetViews>
  <sheetFormatPr defaultColWidth="0" defaultRowHeight="12.75" outlineLevelRow="1"/>
  <cols>
    <col min="1" max="3" width="2.7109375" style="17" customWidth="1"/>
    <col min="4" max="6" width="9.140625" style="17" customWidth="1"/>
    <col min="7" max="7" width="2.7109375" style="17" customWidth="1"/>
    <col min="8" max="8" width="10.7109375" style="18" customWidth="1"/>
    <col min="9" max="9" width="1.7109375" style="17" customWidth="1"/>
    <col min="10" max="10" width="12.5703125" style="19" bestFit="1" customWidth="1"/>
    <col min="11" max="11" width="1.7109375" style="17" customWidth="1"/>
    <col min="12" max="17" width="13.28515625" style="17" bestFit="1" customWidth="1"/>
    <col min="18" max="38" width="11.85546875" style="17" bestFit="1" customWidth="1"/>
    <col min="39" max="40" width="11.7109375" style="17" bestFit="1" customWidth="1"/>
    <col min="41" max="41" width="9.28515625" style="26" bestFit="1" customWidth="1"/>
    <col min="42" max="16384" width="9.140625" style="26" hidden="1"/>
  </cols>
  <sheetData>
    <row r="1" spans="1:41" s="102" customFormat="1">
      <c r="A1" s="23"/>
      <c r="B1" s="10"/>
      <c r="C1" s="10"/>
      <c r="D1" s="10"/>
      <c r="E1" s="10"/>
      <c r="F1" s="10"/>
      <c r="G1" s="10"/>
      <c r="H1" s="10" t="s">
        <v>3</v>
      </c>
      <c r="I1" s="10"/>
      <c r="J1" s="16" t="s">
        <v>2</v>
      </c>
      <c r="K1" s="10"/>
      <c r="L1" s="10">
        <v>2022</v>
      </c>
      <c r="M1" s="10">
        <v>2023</v>
      </c>
      <c r="N1" s="10">
        <v>2024</v>
      </c>
      <c r="O1" s="10">
        <v>2025</v>
      </c>
      <c r="P1" s="10">
        <v>2026</v>
      </c>
      <c r="Q1" s="10">
        <v>2027</v>
      </c>
      <c r="R1" s="10">
        <v>2028</v>
      </c>
      <c r="S1" s="10">
        <v>2029</v>
      </c>
      <c r="T1" s="10">
        <v>2030</v>
      </c>
      <c r="U1" s="10">
        <v>2031</v>
      </c>
      <c r="V1" s="10">
        <v>2032</v>
      </c>
      <c r="W1" s="10">
        <v>2033</v>
      </c>
      <c r="X1" s="10">
        <v>2034</v>
      </c>
      <c r="Y1" s="10">
        <v>2035</v>
      </c>
      <c r="Z1" s="10">
        <v>2036</v>
      </c>
      <c r="AA1" s="10">
        <v>2037</v>
      </c>
      <c r="AB1" s="10">
        <v>2038</v>
      </c>
      <c r="AC1" s="10">
        <v>2039</v>
      </c>
      <c r="AD1" s="10">
        <v>2040</v>
      </c>
      <c r="AE1" s="10">
        <v>2041</v>
      </c>
      <c r="AF1" s="10">
        <v>2042</v>
      </c>
      <c r="AG1" s="10">
        <v>2043</v>
      </c>
      <c r="AH1" s="10">
        <v>2044</v>
      </c>
      <c r="AI1" s="10">
        <v>2045</v>
      </c>
      <c r="AJ1" s="10">
        <v>2046</v>
      </c>
      <c r="AK1" s="10">
        <v>2047</v>
      </c>
      <c r="AL1" s="10">
        <v>2048</v>
      </c>
      <c r="AM1" s="10">
        <v>2049</v>
      </c>
      <c r="AN1" s="10">
        <v>2050</v>
      </c>
      <c r="AO1" s="10">
        <v>2051</v>
      </c>
    </row>
    <row r="2" spans="1:41" s="103" customFormat="1" ht="13.5" thickBot="1">
      <c r="A2" s="36"/>
      <c r="B2" s="28" t="s">
        <v>58</v>
      </c>
      <c r="C2" s="28"/>
      <c r="D2" s="28"/>
      <c r="E2" s="28"/>
      <c r="F2" s="168"/>
      <c r="G2" s="28"/>
      <c r="H2" s="31" t="s">
        <v>4</v>
      </c>
      <c r="I2" s="28"/>
      <c r="J2" s="60">
        <f>SUM(L2:AO2)</f>
        <v>1850000</v>
      </c>
      <c r="K2" s="60"/>
      <c r="L2" s="60">
        <f>CAPEX!L2</f>
        <v>1200000</v>
      </c>
      <c r="M2" s="60">
        <f>CAPEX!M2</f>
        <v>400000</v>
      </c>
      <c r="N2" s="60">
        <f>CAPEX!N2</f>
        <v>250000</v>
      </c>
      <c r="O2" s="60">
        <f>CAPEX!O2</f>
        <v>0</v>
      </c>
      <c r="P2" s="60">
        <f>CAPEX!P2</f>
        <v>0</v>
      </c>
      <c r="Q2" s="60">
        <f>CAPEX!Q2</f>
        <v>0</v>
      </c>
      <c r="R2" s="60">
        <f>CAPEX!R2</f>
        <v>0</v>
      </c>
      <c r="S2" s="60">
        <f>CAPEX!S2</f>
        <v>0</v>
      </c>
      <c r="T2" s="60">
        <f>CAPEX!T2</f>
        <v>0</v>
      </c>
      <c r="U2" s="60">
        <f>CAPEX!U2</f>
        <v>0</v>
      </c>
      <c r="V2" s="60">
        <f>CAPEX!V2</f>
        <v>0</v>
      </c>
      <c r="W2" s="60">
        <f>CAPEX!W2</f>
        <v>0</v>
      </c>
      <c r="X2" s="60">
        <f>CAPEX!X2</f>
        <v>0</v>
      </c>
      <c r="Y2" s="60">
        <f>CAPEX!Y2</f>
        <v>0</v>
      </c>
      <c r="Z2" s="60">
        <f>CAPEX!Z2</f>
        <v>0</v>
      </c>
      <c r="AA2" s="60">
        <f>CAPEX!AA2</f>
        <v>0</v>
      </c>
      <c r="AB2" s="60">
        <f>CAPEX!AB2</f>
        <v>0</v>
      </c>
      <c r="AC2" s="60">
        <f>CAPEX!AC2</f>
        <v>0</v>
      </c>
      <c r="AD2" s="60">
        <f>CAPEX!AD2</f>
        <v>0</v>
      </c>
      <c r="AE2" s="60">
        <f>CAPEX!AE2</f>
        <v>0</v>
      </c>
      <c r="AF2" s="60">
        <f>CAPEX!AF2</f>
        <v>0</v>
      </c>
      <c r="AG2" s="60">
        <f>CAPEX!AG2</f>
        <v>0</v>
      </c>
      <c r="AH2" s="60">
        <f>CAPEX!AH2</f>
        <v>0</v>
      </c>
      <c r="AI2" s="60">
        <f>CAPEX!AI2</f>
        <v>0</v>
      </c>
      <c r="AJ2" s="60">
        <f>CAPEX!AJ2</f>
        <v>0</v>
      </c>
      <c r="AK2" s="60">
        <f>CAPEX!AK2</f>
        <v>0</v>
      </c>
      <c r="AL2" s="60">
        <f>CAPEX!AL2</f>
        <v>0</v>
      </c>
      <c r="AM2" s="60">
        <f>CAPEX!AM2</f>
        <v>0</v>
      </c>
      <c r="AN2" s="60">
        <f>CAPEX!AN2</f>
        <v>0</v>
      </c>
      <c r="AO2" s="60">
        <f>CAPEX!AO2</f>
        <v>0</v>
      </c>
    </row>
    <row r="3" spans="1:41">
      <c r="B3" s="6" t="s">
        <v>73</v>
      </c>
      <c r="C3" s="6"/>
      <c r="D3" s="6"/>
      <c r="E3" s="6"/>
      <c r="F3" s="173">
        <v>0.2</v>
      </c>
      <c r="G3" s="6"/>
      <c r="H3" s="33" t="s">
        <v>4</v>
      </c>
      <c r="I3" s="29"/>
      <c r="J3" s="61">
        <f>SUM(L3:AO3)</f>
        <v>370000</v>
      </c>
      <c r="K3" s="76"/>
      <c r="L3" s="61">
        <f t="shared" ref="L3:AA3" si="0">L$2*$F3</f>
        <v>240000</v>
      </c>
      <c r="M3" s="61">
        <f t="shared" si="0"/>
        <v>80000</v>
      </c>
      <c r="N3" s="61">
        <f t="shared" si="0"/>
        <v>50000</v>
      </c>
      <c r="O3" s="61">
        <f t="shared" si="0"/>
        <v>0</v>
      </c>
      <c r="P3" s="61">
        <f t="shared" si="0"/>
        <v>0</v>
      </c>
      <c r="Q3" s="61">
        <f t="shared" si="0"/>
        <v>0</v>
      </c>
      <c r="R3" s="61">
        <f t="shared" si="0"/>
        <v>0</v>
      </c>
      <c r="S3" s="61">
        <f t="shared" si="0"/>
        <v>0</v>
      </c>
      <c r="T3" s="61">
        <f t="shared" si="0"/>
        <v>0</v>
      </c>
      <c r="U3" s="61">
        <f t="shared" si="0"/>
        <v>0</v>
      </c>
      <c r="V3" s="61">
        <f t="shared" si="0"/>
        <v>0</v>
      </c>
      <c r="W3" s="61">
        <f t="shared" si="0"/>
        <v>0</v>
      </c>
      <c r="X3" s="61">
        <f t="shared" si="0"/>
        <v>0</v>
      </c>
      <c r="Y3" s="61">
        <f t="shared" si="0"/>
        <v>0</v>
      </c>
      <c r="Z3" s="61">
        <f t="shared" si="0"/>
        <v>0</v>
      </c>
      <c r="AA3" s="61">
        <f t="shared" si="0"/>
        <v>0</v>
      </c>
      <c r="AB3" s="61">
        <f t="shared" ref="M3:AK6" si="1">AB$2*$F3</f>
        <v>0</v>
      </c>
      <c r="AC3" s="61">
        <f t="shared" si="1"/>
        <v>0</v>
      </c>
      <c r="AD3" s="61">
        <f t="shared" si="1"/>
        <v>0</v>
      </c>
      <c r="AE3" s="61">
        <f t="shared" si="1"/>
        <v>0</v>
      </c>
      <c r="AF3" s="61">
        <f t="shared" si="1"/>
        <v>0</v>
      </c>
      <c r="AG3" s="61">
        <f t="shared" si="1"/>
        <v>0</v>
      </c>
      <c r="AH3" s="61">
        <f t="shared" si="1"/>
        <v>0</v>
      </c>
      <c r="AI3" s="61">
        <f t="shared" si="1"/>
        <v>0</v>
      </c>
      <c r="AJ3" s="61">
        <f t="shared" si="1"/>
        <v>0</v>
      </c>
      <c r="AK3" s="61">
        <f t="shared" si="1"/>
        <v>0</v>
      </c>
      <c r="AL3" s="61">
        <f t="shared" ref="AK3:AO6" si="2">AL$2*$F3</f>
        <v>0</v>
      </c>
      <c r="AM3" s="61">
        <f t="shared" si="2"/>
        <v>0</v>
      </c>
      <c r="AN3" s="61">
        <f t="shared" si="2"/>
        <v>0</v>
      </c>
      <c r="AO3" s="61">
        <f t="shared" si="2"/>
        <v>0</v>
      </c>
    </row>
    <row r="4" spans="1:41">
      <c r="B4" s="6" t="s">
        <v>74</v>
      </c>
      <c r="C4" s="6"/>
      <c r="D4" s="6"/>
      <c r="E4" s="6"/>
      <c r="F4" s="174">
        <v>0.1</v>
      </c>
      <c r="G4" s="6"/>
      <c r="H4" s="33" t="s">
        <v>4</v>
      </c>
      <c r="I4" s="29"/>
      <c r="J4" s="61">
        <f>SUM(L4:AO4)</f>
        <v>185000</v>
      </c>
      <c r="K4" s="76"/>
      <c r="L4" s="61">
        <f>L$2*$F4</f>
        <v>120000</v>
      </c>
      <c r="M4" s="61">
        <f t="shared" si="1"/>
        <v>40000</v>
      </c>
      <c r="N4" s="61">
        <f t="shared" si="1"/>
        <v>25000</v>
      </c>
      <c r="O4" s="61">
        <f t="shared" si="1"/>
        <v>0</v>
      </c>
      <c r="P4" s="61">
        <f t="shared" si="1"/>
        <v>0</v>
      </c>
      <c r="Q4" s="61">
        <f t="shared" si="1"/>
        <v>0</v>
      </c>
      <c r="R4" s="61">
        <f t="shared" si="1"/>
        <v>0</v>
      </c>
      <c r="S4" s="61">
        <f t="shared" si="1"/>
        <v>0</v>
      </c>
      <c r="T4" s="61">
        <f t="shared" si="1"/>
        <v>0</v>
      </c>
      <c r="U4" s="61">
        <f t="shared" si="1"/>
        <v>0</v>
      </c>
      <c r="V4" s="61">
        <f t="shared" si="1"/>
        <v>0</v>
      </c>
      <c r="W4" s="61">
        <f t="shared" si="1"/>
        <v>0</v>
      </c>
      <c r="X4" s="61">
        <f t="shared" si="1"/>
        <v>0</v>
      </c>
      <c r="Y4" s="61">
        <f t="shared" si="1"/>
        <v>0</v>
      </c>
      <c r="Z4" s="61">
        <f t="shared" si="1"/>
        <v>0</v>
      </c>
      <c r="AA4" s="61">
        <f t="shared" si="1"/>
        <v>0</v>
      </c>
      <c r="AB4" s="61">
        <f t="shared" si="1"/>
        <v>0</v>
      </c>
      <c r="AC4" s="61">
        <f t="shared" si="1"/>
        <v>0</v>
      </c>
      <c r="AD4" s="61">
        <f t="shared" si="1"/>
        <v>0</v>
      </c>
      <c r="AE4" s="61">
        <f t="shared" si="1"/>
        <v>0</v>
      </c>
      <c r="AF4" s="61">
        <f t="shared" si="1"/>
        <v>0</v>
      </c>
      <c r="AG4" s="61">
        <f t="shared" si="1"/>
        <v>0</v>
      </c>
      <c r="AH4" s="61">
        <f t="shared" si="1"/>
        <v>0</v>
      </c>
      <c r="AI4" s="61">
        <f t="shared" si="1"/>
        <v>0</v>
      </c>
      <c r="AJ4" s="61">
        <f t="shared" si="1"/>
        <v>0</v>
      </c>
      <c r="AK4" s="61">
        <f t="shared" si="2"/>
        <v>0</v>
      </c>
      <c r="AL4" s="61">
        <f t="shared" si="2"/>
        <v>0</v>
      </c>
      <c r="AM4" s="61">
        <f t="shared" si="2"/>
        <v>0</v>
      </c>
      <c r="AN4" s="61">
        <f t="shared" si="2"/>
        <v>0</v>
      </c>
      <c r="AO4" s="61">
        <f t="shared" si="2"/>
        <v>0</v>
      </c>
    </row>
    <row r="5" spans="1:41">
      <c r="B5" s="6" t="s">
        <v>75</v>
      </c>
      <c r="C5" s="6"/>
      <c r="D5" s="6"/>
      <c r="E5" s="6"/>
      <c r="F5" s="174">
        <v>0.6</v>
      </c>
      <c r="G5" s="6"/>
      <c r="H5" s="33" t="s">
        <v>4</v>
      </c>
      <c r="I5" s="29"/>
      <c r="J5" s="61">
        <f>SUM(L5:AO5)</f>
        <v>1110000</v>
      </c>
      <c r="K5" s="76"/>
      <c r="L5" s="61">
        <f>L$2*$F5</f>
        <v>720000</v>
      </c>
      <c r="M5" s="61">
        <f t="shared" si="1"/>
        <v>240000</v>
      </c>
      <c r="N5" s="61">
        <f t="shared" si="1"/>
        <v>150000</v>
      </c>
      <c r="O5" s="61">
        <f t="shared" si="1"/>
        <v>0</v>
      </c>
      <c r="P5" s="61">
        <f t="shared" si="1"/>
        <v>0</v>
      </c>
      <c r="Q5" s="61">
        <f t="shared" si="1"/>
        <v>0</v>
      </c>
      <c r="R5" s="61">
        <f t="shared" si="1"/>
        <v>0</v>
      </c>
      <c r="S5" s="61">
        <f t="shared" si="1"/>
        <v>0</v>
      </c>
      <c r="T5" s="61">
        <f t="shared" si="1"/>
        <v>0</v>
      </c>
      <c r="U5" s="61">
        <f t="shared" si="1"/>
        <v>0</v>
      </c>
      <c r="V5" s="61">
        <f t="shared" si="1"/>
        <v>0</v>
      </c>
      <c r="W5" s="61">
        <f t="shared" si="1"/>
        <v>0</v>
      </c>
      <c r="X5" s="61">
        <f t="shared" si="1"/>
        <v>0</v>
      </c>
      <c r="Y5" s="61">
        <f t="shared" si="1"/>
        <v>0</v>
      </c>
      <c r="Z5" s="61">
        <f t="shared" si="1"/>
        <v>0</v>
      </c>
      <c r="AA5" s="61">
        <f t="shared" si="1"/>
        <v>0</v>
      </c>
      <c r="AB5" s="61">
        <f t="shared" si="1"/>
        <v>0</v>
      </c>
      <c r="AC5" s="61">
        <f t="shared" si="1"/>
        <v>0</v>
      </c>
      <c r="AD5" s="61">
        <f t="shared" si="1"/>
        <v>0</v>
      </c>
      <c r="AE5" s="61">
        <f t="shared" si="1"/>
        <v>0</v>
      </c>
      <c r="AF5" s="61">
        <f t="shared" si="1"/>
        <v>0</v>
      </c>
      <c r="AG5" s="61">
        <f t="shared" si="1"/>
        <v>0</v>
      </c>
      <c r="AH5" s="61">
        <f t="shared" si="1"/>
        <v>0</v>
      </c>
      <c r="AI5" s="61">
        <f t="shared" si="1"/>
        <v>0</v>
      </c>
      <c r="AJ5" s="61">
        <f t="shared" si="1"/>
        <v>0</v>
      </c>
      <c r="AK5" s="61">
        <f t="shared" si="2"/>
        <v>0</v>
      </c>
      <c r="AL5" s="61">
        <f t="shared" si="2"/>
        <v>0</v>
      </c>
      <c r="AM5" s="61">
        <f t="shared" si="2"/>
        <v>0</v>
      </c>
      <c r="AN5" s="61">
        <f t="shared" si="2"/>
        <v>0</v>
      </c>
      <c r="AO5" s="61">
        <f t="shared" si="2"/>
        <v>0</v>
      </c>
    </row>
    <row r="6" spans="1:41" ht="13.5" thickBot="1">
      <c r="B6" s="6" t="s">
        <v>76</v>
      </c>
      <c r="C6" s="6"/>
      <c r="D6" s="6"/>
      <c r="E6" s="6"/>
      <c r="F6" s="175">
        <v>0.1</v>
      </c>
      <c r="G6" s="6"/>
      <c r="H6" s="33" t="s">
        <v>4</v>
      </c>
      <c r="I6" s="29"/>
      <c r="J6" s="61">
        <f>SUM(L6:AO6)</f>
        <v>185000</v>
      </c>
      <c r="K6" s="76"/>
      <c r="L6" s="61">
        <f>L$2*$F6</f>
        <v>120000</v>
      </c>
      <c r="M6" s="61">
        <f t="shared" si="1"/>
        <v>40000</v>
      </c>
      <c r="N6" s="61">
        <f t="shared" si="1"/>
        <v>25000</v>
      </c>
      <c r="O6" s="61">
        <f t="shared" si="1"/>
        <v>0</v>
      </c>
      <c r="P6" s="61">
        <f t="shared" si="1"/>
        <v>0</v>
      </c>
      <c r="Q6" s="61">
        <f t="shared" si="1"/>
        <v>0</v>
      </c>
      <c r="R6" s="61">
        <f t="shared" si="1"/>
        <v>0</v>
      </c>
      <c r="S6" s="61">
        <f t="shared" si="1"/>
        <v>0</v>
      </c>
      <c r="T6" s="61">
        <f t="shared" si="1"/>
        <v>0</v>
      </c>
      <c r="U6" s="61">
        <f t="shared" si="1"/>
        <v>0</v>
      </c>
      <c r="V6" s="61">
        <f t="shared" si="1"/>
        <v>0</v>
      </c>
      <c r="W6" s="61">
        <f t="shared" si="1"/>
        <v>0</v>
      </c>
      <c r="X6" s="61">
        <f t="shared" si="1"/>
        <v>0</v>
      </c>
      <c r="Y6" s="61">
        <f t="shared" si="1"/>
        <v>0</v>
      </c>
      <c r="Z6" s="61">
        <f t="shared" si="1"/>
        <v>0</v>
      </c>
      <c r="AA6" s="61">
        <f t="shared" si="1"/>
        <v>0</v>
      </c>
      <c r="AB6" s="61">
        <f t="shared" si="1"/>
        <v>0</v>
      </c>
      <c r="AC6" s="61">
        <f t="shared" si="1"/>
        <v>0</v>
      </c>
      <c r="AD6" s="61">
        <f t="shared" si="1"/>
        <v>0</v>
      </c>
      <c r="AE6" s="61">
        <f t="shared" si="1"/>
        <v>0</v>
      </c>
      <c r="AF6" s="61">
        <f t="shared" si="1"/>
        <v>0</v>
      </c>
      <c r="AG6" s="61">
        <f t="shared" si="1"/>
        <v>0</v>
      </c>
      <c r="AH6" s="61">
        <f t="shared" si="1"/>
        <v>0</v>
      </c>
      <c r="AI6" s="61">
        <f t="shared" si="1"/>
        <v>0</v>
      </c>
      <c r="AJ6" s="61">
        <f t="shared" si="1"/>
        <v>0</v>
      </c>
      <c r="AK6" s="61">
        <f t="shared" si="2"/>
        <v>0</v>
      </c>
      <c r="AL6" s="61">
        <f t="shared" si="2"/>
        <v>0</v>
      </c>
      <c r="AM6" s="61">
        <f t="shared" si="2"/>
        <v>0</v>
      </c>
      <c r="AN6" s="61">
        <f t="shared" si="2"/>
        <v>0</v>
      </c>
      <c r="AO6" s="61">
        <f t="shared" si="2"/>
        <v>0</v>
      </c>
    </row>
    <row r="7" spans="1:41" ht="5.0999999999999996" customHeight="1">
      <c r="J7" s="73"/>
      <c r="K7" s="74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>
      <c r="B8" s="6" t="s">
        <v>73</v>
      </c>
      <c r="C8" s="6"/>
      <c r="D8" s="6"/>
      <c r="E8" s="6"/>
      <c r="F8" s="6"/>
      <c r="G8" s="6"/>
      <c r="H8" s="1"/>
      <c r="I8" s="6"/>
      <c r="J8" s="61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1">
      <c r="B9" s="6"/>
      <c r="C9" s="6" t="s">
        <v>91</v>
      </c>
      <c r="D9" s="6"/>
      <c r="E9" s="6"/>
      <c r="F9" s="6"/>
      <c r="G9" s="6"/>
      <c r="H9" s="33" t="s">
        <v>4</v>
      </c>
      <c r="I9" s="6"/>
      <c r="J9" s="61">
        <f>SUM(L9:AO9)</f>
        <v>200000</v>
      </c>
      <c r="K9" s="76"/>
      <c r="L9" s="74">
        <v>100000</v>
      </c>
      <c r="M9" s="74">
        <v>50000</v>
      </c>
      <c r="N9" s="74">
        <v>50000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</row>
    <row r="10" spans="1:41">
      <c r="B10" s="6"/>
      <c r="C10" s="6" t="s">
        <v>92</v>
      </c>
      <c r="D10" s="6"/>
      <c r="E10" s="6"/>
      <c r="F10" s="6"/>
      <c r="G10" s="6"/>
      <c r="H10" s="33" t="s">
        <v>4</v>
      </c>
      <c r="I10" s="6"/>
      <c r="J10" s="61"/>
      <c r="K10" s="76"/>
      <c r="L10" s="76">
        <v>0</v>
      </c>
      <c r="M10" s="76">
        <f>L13</f>
        <v>140000</v>
      </c>
      <c r="N10" s="76">
        <f t="shared" ref="N10:AJ10" si="3">M13</f>
        <v>170000</v>
      </c>
      <c r="O10" s="76">
        <f t="shared" si="3"/>
        <v>127500</v>
      </c>
      <c r="P10" s="76">
        <f t="shared" si="3"/>
        <v>85000</v>
      </c>
      <c r="Q10" s="76">
        <f t="shared" si="3"/>
        <v>42500</v>
      </c>
      <c r="R10" s="76">
        <f t="shared" si="3"/>
        <v>0</v>
      </c>
      <c r="S10" s="76">
        <f t="shared" si="3"/>
        <v>0</v>
      </c>
      <c r="T10" s="76">
        <f t="shared" si="3"/>
        <v>0</v>
      </c>
      <c r="U10" s="76">
        <f t="shared" si="3"/>
        <v>0</v>
      </c>
      <c r="V10" s="76">
        <f t="shared" si="3"/>
        <v>0</v>
      </c>
      <c r="W10" s="76">
        <f t="shared" si="3"/>
        <v>0</v>
      </c>
      <c r="X10" s="76">
        <f t="shared" si="3"/>
        <v>0</v>
      </c>
      <c r="Y10" s="76">
        <f t="shared" si="3"/>
        <v>0</v>
      </c>
      <c r="Z10" s="76">
        <f t="shared" si="3"/>
        <v>0</v>
      </c>
      <c r="AA10" s="76">
        <f t="shared" si="3"/>
        <v>0</v>
      </c>
      <c r="AB10" s="76">
        <f t="shared" si="3"/>
        <v>0</v>
      </c>
      <c r="AC10" s="76">
        <f t="shared" si="3"/>
        <v>0</v>
      </c>
      <c r="AD10" s="76">
        <f t="shared" si="3"/>
        <v>0</v>
      </c>
      <c r="AE10" s="76">
        <f t="shared" si="3"/>
        <v>0</v>
      </c>
      <c r="AF10" s="76">
        <f t="shared" si="3"/>
        <v>0</v>
      </c>
      <c r="AG10" s="76">
        <f t="shared" si="3"/>
        <v>0</v>
      </c>
      <c r="AH10" s="76">
        <f t="shared" si="3"/>
        <v>0</v>
      </c>
      <c r="AI10" s="76">
        <f t="shared" si="3"/>
        <v>0</v>
      </c>
      <c r="AJ10" s="76">
        <f t="shared" si="3"/>
        <v>0</v>
      </c>
      <c r="AK10" s="76">
        <f t="shared" ref="AK10" si="4">AJ13</f>
        <v>0</v>
      </c>
      <c r="AL10" s="76">
        <f t="shared" ref="AL10" si="5">AK13</f>
        <v>0</v>
      </c>
      <c r="AM10" s="76">
        <f t="shared" ref="AM10" si="6">AL13</f>
        <v>0</v>
      </c>
      <c r="AN10" s="76">
        <f t="shared" ref="AN10:AO10" si="7">AM13</f>
        <v>0</v>
      </c>
      <c r="AO10" s="76">
        <f t="shared" si="7"/>
        <v>0</v>
      </c>
    </row>
    <row r="11" spans="1:41">
      <c r="B11" s="6"/>
      <c r="C11" s="6"/>
      <c r="D11" s="6" t="s">
        <v>78</v>
      </c>
      <c r="E11" s="6"/>
      <c r="F11" s="6"/>
      <c r="G11" s="6"/>
      <c r="H11" s="33" t="s">
        <v>4</v>
      </c>
      <c r="I11" s="6"/>
      <c r="J11" s="61">
        <f>SUM(L11:AO11)</f>
        <v>170000</v>
      </c>
      <c r="K11" s="76"/>
      <c r="L11" s="76">
        <f t="shared" ref="L11:AO11" si="8">L3-L9</f>
        <v>140000</v>
      </c>
      <c r="M11" s="76">
        <f t="shared" si="8"/>
        <v>30000</v>
      </c>
      <c r="N11" s="76">
        <f t="shared" si="8"/>
        <v>0</v>
      </c>
      <c r="O11" s="76">
        <f t="shared" si="8"/>
        <v>0</v>
      </c>
      <c r="P11" s="76">
        <f t="shared" si="8"/>
        <v>0</v>
      </c>
      <c r="Q11" s="76">
        <f t="shared" si="8"/>
        <v>0</v>
      </c>
      <c r="R11" s="76">
        <f t="shared" si="8"/>
        <v>0</v>
      </c>
      <c r="S11" s="76">
        <f t="shared" si="8"/>
        <v>0</v>
      </c>
      <c r="T11" s="76">
        <f t="shared" si="8"/>
        <v>0</v>
      </c>
      <c r="U11" s="76">
        <f t="shared" si="8"/>
        <v>0</v>
      </c>
      <c r="V11" s="76">
        <f t="shared" si="8"/>
        <v>0</v>
      </c>
      <c r="W11" s="76">
        <f t="shared" si="8"/>
        <v>0</v>
      </c>
      <c r="X11" s="76">
        <f t="shared" si="8"/>
        <v>0</v>
      </c>
      <c r="Y11" s="76">
        <f t="shared" si="8"/>
        <v>0</v>
      </c>
      <c r="Z11" s="76">
        <f t="shared" si="8"/>
        <v>0</v>
      </c>
      <c r="AA11" s="76">
        <f t="shared" si="8"/>
        <v>0</v>
      </c>
      <c r="AB11" s="76">
        <f t="shared" si="8"/>
        <v>0</v>
      </c>
      <c r="AC11" s="76">
        <f t="shared" si="8"/>
        <v>0</v>
      </c>
      <c r="AD11" s="76">
        <f t="shared" si="8"/>
        <v>0</v>
      </c>
      <c r="AE11" s="76">
        <f t="shared" si="8"/>
        <v>0</v>
      </c>
      <c r="AF11" s="76">
        <f t="shared" si="8"/>
        <v>0</v>
      </c>
      <c r="AG11" s="76">
        <f t="shared" si="8"/>
        <v>0</v>
      </c>
      <c r="AH11" s="76">
        <f t="shared" si="8"/>
        <v>0</v>
      </c>
      <c r="AI11" s="76">
        <f t="shared" si="8"/>
        <v>0</v>
      </c>
      <c r="AJ11" s="76">
        <f t="shared" si="8"/>
        <v>0</v>
      </c>
      <c r="AK11" s="76">
        <f t="shared" si="8"/>
        <v>0</v>
      </c>
      <c r="AL11" s="76">
        <f t="shared" si="8"/>
        <v>0</v>
      </c>
      <c r="AM11" s="76">
        <f t="shared" si="8"/>
        <v>0</v>
      </c>
      <c r="AN11" s="76">
        <f t="shared" si="8"/>
        <v>0</v>
      </c>
      <c r="AO11" s="76">
        <f t="shared" si="8"/>
        <v>0</v>
      </c>
    </row>
    <row r="12" spans="1:41">
      <c r="B12" s="6"/>
      <c r="C12" s="6"/>
      <c r="D12" s="29" t="s">
        <v>89</v>
      </c>
      <c r="E12" s="6"/>
      <c r="F12" s="6"/>
      <c r="G12" s="6"/>
      <c r="H12" s="33" t="s">
        <v>4</v>
      </c>
      <c r="I12" s="6"/>
      <c r="J12" s="61">
        <f>SUM(L12:AO12)</f>
        <v>-170000</v>
      </c>
      <c r="K12" s="61"/>
      <c r="L12" s="73"/>
      <c r="M12" s="73"/>
      <c r="N12" s="73">
        <f>-MIN($J$11/$E$15,N10)</f>
        <v>-42500</v>
      </c>
      <c r="O12" s="73">
        <f t="shared" ref="O12:AO12" si="9">-MIN($J$11/$E$15,O10)</f>
        <v>-42500</v>
      </c>
      <c r="P12" s="73">
        <f t="shared" si="9"/>
        <v>-42500</v>
      </c>
      <c r="Q12" s="73">
        <f t="shared" si="9"/>
        <v>-42500</v>
      </c>
      <c r="R12" s="73">
        <f t="shared" si="9"/>
        <v>0</v>
      </c>
      <c r="S12" s="73">
        <f t="shared" si="9"/>
        <v>0</v>
      </c>
      <c r="T12" s="73">
        <f t="shared" si="9"/>
        <v>0</v>
      </c>
      <c r="U12" s="73">
        <f t="shared" si="9"/>
        <v>0</v>
      </c>
      <c r="V12" s="73">
        <f t="shared" si="9"/>
        <v>0</v>
      </c>
      <c r="W12" s="73">
        <f t="shared" si="9"/>
        <v>0</v>
      </c>
      <c r="X12" s="73">
        <f t="shared" si="9"/>
        <v>0</v>
      </c>
      <c r="Y12" s="73">
        <f t="shared" si="9"/>
        <v>0</v>
      </c>
      <c r="Z12" s="73">
        <f t="shared" si="9"/>
        <v>0</v>
      </c>
      <c r="AA12" s="73">
        <f t="shared" si="9"/>
        <v>0</v>
      </c>
      <c r="AB12" s="73">
        <f t="shared" si="9"/>
        <v>0</v>
      </c>
      <c r="AC12" s="73">
        <f t="shared" si="9"/>
        <v>0</v>
      </c>
      <c r="AD12" s="73">
        <f t="shared" si="9"/>
        <v>0</v>
      </c>
      <c r="AE12" s="73">
        <f t="shared" si="9"/>
        <v>0</v>
      </c>
      <c r="AF12" s="73">
        <f t="shared" si="9"/>
        <v>0</v>
      </c>
      <c r="AG12" s="73">
        <f t="shared" si="9"/>
        <v>0</v>
      </c>
      <c r="AH12" s="73">
        <f t="shared" si="9"/>
        <v>0</v>
      </c>
      <c r="AI12" s="73">
        <f t="shared" si="9"/>
        <v>0</v>
      </c>
      <c r="AJ12" s="73">
        <f t="shared" si="9"/>
        <v>0</v>
      </c>
      <c r="AK12" s="73">
        <f t="shared" si="9"/>
        <v>0</v>
      </c>
      <c r="AL12" s="73">
        <f t="shared" si="9"/>
        <v>0</v>
      </c>
      <c r="AM12" s="73">
        <f t="shared" si="9"/>
        <v>0</v>
      </c>
      <c r="AN12" s="73">
        <f t="shared" si="9"/>
        <v>0</v>
      </c>
      <c r="AO12" s="73">
        <f t="shared" si="9"/>
        <v>0</v>
      </c>
    </row>
    <row r="13" spans="1:41">
      <c r="B13" s="6"/>
      <c r="C13" s="6" t="s">
        <v>80</v>
      </c>
      <c r="D13" s="6"/>
      <c r="E13" s="6"/>
      <c r="F13" s="6"/>
      <c r="G13" s="6"/>
      <c r="H13" s="33" t="s">
        <v>4</v>
      </c>
      <c r="I13" s="6"/>
      <c r="J13" s="61"/>
      <c r="K13" s="76"/>
      <c r="L13" s="76">
        <f>MAX(L10+L11+L12,0)</f>
        <v>140000</v>
      </c>
      <c r="M13" s="76">
        <f t="shared" ref="M13:AO13" si="10">MAX(M10+M11+M12,0)</f>
        <v>170000</v>
      </c>
      <c r="N13" s="76">
        <f t="shared" si="10"/>
        <v>127500</v>
      </c>
      <c r="O13" s="76">
        <f t="shared" si="10"/>
        <v>85000</v>
      </c>
      <c r="P13" s="76">
        <f t="shared" si="10"/>
        <v>42500</v>
      </c>
      <c r="Q13" s="76">
        <f t="shared" si="10"/>
        <v>0</v>
      </c>
      <c r="R13" s="76">
        <f t="shared" si="10"/>
        <v>0</v>
      </c>
      <c r="S13" s="76">
        <f t="shared" si="10"/>
        <v>0</v>
      </c>
      <c r="T13" s="76">
        <f t="shared" si="10"/>
        <v>0</v>
      </c>
      <c r="U13" s="76">
        <f t="shared" si="10"/>
        <v>0</v>
      </c>
      <c r="V13" s="76">
        <f t="shared" si="10"/>
        <v>0</v>
      </c>
      <c r="W13" s="76">
        <f t="shared" si="10"/>
        <v>0</v>
      </c>
      <c r="X13" s="76">
        <f t="shared" si="10"/>
        <v>0</v>
      </c>
      <c r="Y13" s="76">
        <f t="shared" si="10"/>
        <v>0</v>
      </c>
      <c r="Z13" s="76">
        <f t="shared" si="10"/>
        <v>0</v>
      </c>
      <c r="AA13" s="76">
        <f t="shared" si="10"/>
        <v>0</v>
      </c>
      <c r="AB13" s="76">
        <f t="shared" si="10"/>
        <v>0</v>
      </c>
      <c r="AC13" s="76">
        <f t="shared" si="10"/>
        <v>0</v>
      </c>
      <c r="AD13" s="76">
        <f t="shared" si="10"/>
        <v>0</v>
      </c>
      <c r="AE13" s="76">
        <f t="shared" si="10"/>
        <v>0</v>
      </c>
      <c r="AF13" s="76">
        <f t="shared" si="10"/>
        <v>0</v>
      </c>
      <c r="AG13" s="76">
        <f t="shared" si="10"/>
        <v>0</v>
      </c>
      <c r="AH13" s="76">
        <f t="shared" si="10"/>
        <v>0</v>
      </c>
      <c r="AI13" s="76">
        <f t="shared" si="10"/>
        <v>0</v>
      </c>
      <c r="AJ13" s="76">
        <f t="shared" si="10"/>
        <v>0</v>
      </c>
      <c r="AK13" s="76">
        <f t="shared" si="10"/>
        <v>0</v>
      </c>
      <c r="AL13" s="76">
        <f t="shared" si="10"/>
        <v>0</v>
      </c>
      <c r="AM13" s="76">
        <f t="shared" si="10"/>
        <v>0</v>
      </c>
      <c r="AN13" s="76">
        <f t="shared" si="10"/>
        <v>0</v>
      </c>
      <c r="AO13" s="76">
        <f t="shared" si="10"/>
        <v>0</v>
      </c>
    </row>
    <row r="14" spans="1:41" ht="5.0999999999999996" customHeight="1" thickBot="1">
      <c r="B14" s="6"/>
      <c r="C14" s="6"/>
      <c r="D14" s="6"/>
      <c r="E14" s="6"/>
      <c r="F14" s="6"/>
      <c r="G14" s="6"/>
      <c r="H14" s="33"/>
      <c r="I14" s="6"/>
      <c r="J14" s="61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</row>
    <row r="15" spans="1:41" ht="13.5" thickBot="1">
      <c r="B15" s="6"/>
      <c r="C15" s="6" t="s">
        <v>81</v>
      </c>
      <c r="D15" s="6"/>
      <c r="E15" s="170">
        <v>4</v>
      </c>
      <c r="F15" s="172">
        <v>0.1</v>
      </c>
      <c r="G15" s="6"/>
      <c r="H15" s="33" t="s">
        <v>4</v>
      </c>
      <c r="I15" s="6"/>
      <c r="J15" s="61">
        <f>SUM(L15:AO15)</f>
        <v>-56500</v>
      </c>
      <c r="K15" s="76"/>
      <c r="L15" s="76">
        <f>ROUND(-AVERAGE(L10,L13)*$F15,1)</f>
        <v>-7000</v>
      </c>
      <c r="M15" s="76">
        <f t="shared" ref="M15:AO15" si="11">ROUND(-AVERAGE(M10,M13)*$F15,1)</f>
        <v>-15500</v>
      </c>
      <c r="N15" s="76">
        <f t="shared" si="11"/>
        <v>-14875</v>
      </c>
      <c r="O15" s="76">
        <f t="shared" si="11"/>
        <v>-10625</v>
      </c>
      <c r="P15" s="76">
        <f t="shared" si="11"/>
        <v>-6375</v>
      </c>
      <c r="Q15" s="76">
        <f t="shared" si="11"/>
        <v>-2125</v>
      </c>
      <c r="R15" s="76">
        <f t="shared" si="11"/>
        <v>0</v>
      </c>
      <c r="S15" s="76">
        <f t="shared" si="11"/>
        <v>0</v>
      </c>
      <c r="T15" s="76">
        <f t="shared" si="11"/>
        <v>0</v>
      </c>
      <c r="U15" s="76">
        <f t="shared" si="11"/>
        <v>0</v>
      </c>
      <c r="V15" s="76">
        <f t="shared" si="11"/>
        <v>0</v>
      </c>
      <c r="W15" s="76">
        <f t="shared" si="11"/>
        <v>0</v>
      </c>
      <c r="X15" s="76">
        <f t="shared" si="11"/>
        <v>0</v>
      </c>
      <c r="Y15" s="76">
        <f t="shared" si="11"/>
        <v>0</v>
      </c>
      <c r="Z15" s="76">
        <f t="shared" si="11"/>
        <v>0</v>
      </c>
      <c r="AA15" s="76">
        <f t="shared" si="11"/>
        <v>0</v>
      </c>
      <c r="AB15" s="76">
        <f t="shared" si="11"/>
        <v>0</v>
      </c>
      <c r="AC15" s="76">
        <f t="shared" si="11"/>
        <v>0</v>
      </c>
      <c r="AD15" s="76">
        <f t="shared" si="11"/>
        <v>0</v>
      </c>
      <c r="AE15" s="76">
        <f t="shared" si="11"/>
        <v>0</v>
      </c>
      <c r="AF15" s="76">
        <f t="shared" si="11"/>
        <v>0</v>
      </c>
      <c r="AG15" s="76">
        <f t="shared" si="11"/>
        <v>0</v>
      </c>
      <c r="AH15" s="76">
        <f t="shared" si="11"/>
        <v>0</v>
      </c>
      <c r="AI15" s="76">
        <f t="shared" si="11"/>
        <v>0</v>
      </c>
      <c r="AJ15" s="76">
        <f t="shared" si="11"/>
        <v>0</v>
      </c>
      <c r="AK15" s="76">
        <f t="shared" si="11"/>
        <v>0</v>
      </c>
      <c r="AL15" s="76">
        <f t="shared" si="11"/>
        <v>0</v>
      </c>
      <c r="AM15" s="76">
        <f t="shared" si="11"/>
        <v>0</v>
      </c>
      <c r="AN15" s="76">
        <f t="shared" si="11"/>
        <v>0</v>
      </c>
      <c r="AO15" s="76">
        <f t="shared" si="11"/>
        <v>0</v>
      </c>
    </row>
    <row r="16" spans="1:41" ht="5.0999999999999996" customHeight="1"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</row>
    <row r="17" spans="1:41">
      <c r="B17" s="6" t="s">
        <v>74</v>
      </c>
      <c r="C17" s="6"/>
      <c r="D17" s="6"/>
      <c r="E17" s="6"/>
      <c r="F17" s="6"/>
      <c r="G17" s="6"/>
      <c r="H17" s="1"/>
      <c r="I17" s="6"/>
      <c r="J17" s="61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</row>
    <row r="18" spans="1:41">
      <c r="B18" s="6"/>
      <c r="C18" s="6" t="s">
        <v>126</v>
      </c>
      <c r="D18" s="6"/>
      <c r="E18" s="6"/>
      <c r="F18" s="6"/>
      <c r="G18" s="6"/>
      <c r="H18" s="1" t="s">
        <v>4</v>
      </c>
      <c r="I18" s="6"/>
      <c r="J18" s="61">
        <f>SUM(L18:AO18)</f>
        <v>185000</v>
      </c>
      <c r="K18" s="76"/>
      <c r="L18" s="76">
        <f>L4</f>
        <v>120000</v>
      </c>
      <c r="M18" s="76">
        <f t="shared" ref="M18:AJ18" si="12">M4</f>
        <v>40000</v>
      </c>
      <c r="N18" s="76">
        <f t="shared" si="12"/>
        <v>25000</v>
      </c>
      <c r="O18" s="76">
        <f t="shared" si="12"/>
        <v>0</v>
      </c>
      <c r="P18" s="76">
        <f t="shared" si="12"/>
        <v>0</v>
      </c>
      <c r="Q18" s="76">
        <f t="shared" si="12"/>
        <v>0</v>
      </c>
      <c r="R18" s="76">
        <f t="shared" si="12"/>
        <v>0</v>
      </c>
      <c r="S18" s="76">
        <f t="shared" si="12"/>
        <v>0</v>
      </c>
      <c r="T18" s="76">
        <f t="shared" si="12"/>
        <v>0</v>
      </c>
      <c r="U18" s="76">
        <f t="shared" si="12"/>
        <v>0</v>
      </c>
      <c r="V18" s="76">
        <f t="shared" si="12"/>
        <v>0</v>
      </c>
      <c r="W18" s="76">
        <f t="shared" si="12"/>
        <v>0</v>
      </c>
      <c r="X18" s="76">
        <f t="shared" si="12"/>
        <v>0</v>
      </c>
      <c r="Y18" s="76">
        <f t="shared" si="12"/>
        <v>0</v>
      </c>
      <c r="Z18" s="76">
        <f t="shared" si="12"/>
        <v>0</v>
      </c>
      <c r="AA18" s="76">
        <f t="shared" si="12"/>
        <v>0</v>
      </c>
      <c r="AB18" s="76">
        <f t="shared" si="12"/>
        <v>0</v>
      </c>
      <c r="AC18" s="76">
        <f t="shared" si="12"/>
        <v>0</v>
      </c>
      <c r="AD18" s="76">
        <f t="shared" si="12"/>
        <v>0</v>
      </c>
      <c r="AE18" s="76">
        <f t="shared" si="12"/>
        <v>0</v>
      </c>
      <c r="AF18" s="76">
        <f t="shared" si="12"/>
        <v>0</v>
      </c>
      <c r="AG18" s="76">
        <f t="shared" si="12"/>
        <v>0</v>
      </c>
      <c r="AH18" s="76">
        <f t="shared" si="12"/>
        <v>0</v>
      </c>
      <c r="AI18" s="76">
        <f t="shared" si="12"/>
        <v>0</v>
      </c>
      <c r="AJ18" s="76">
        <f t="shared" si="12"/>
        <v>0</v>
      </c>
      <c r="AK18" s="76">
        <f t="shared" ref="AK18:AN18" si="13">AK4</f>
        <v>0</v>
      </c>
      <c r="AL18" s="76">
        <f t="shared" si="13"/>
        <v>0</v>
      </c>
      <c r="AM18" s="76">
        <f t="shared" si="13"/>
        <v>0</v>
      </c>
      <c r="AN18" s="76">
        <f t="shared" si="13"/>
        <v>0</v>
      </c>
      <c r="AO18" s="76">
        <f t="shared" ref="AO18" si="14">AO4</f>
        <v>0</v>
      </c>
    </row>
    <row r="19" spans="1:41" ht="5.0999999999999996" customHeight="1">
      <c r="B19" s="6"/>
      <c r="C19" s="6"/>
      <c r="D19" s="6"/>
      <c r="E19" s="6"/>
      <c r="F19" s="6"/>
      <c r="G19" s="6"/>
      <c r="H19" s="1"/>
      <c r="I19" s="6"/>
      <c r="J19" s="61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</row>
    <row r="20" spans="1:41">
      <c r="B20" s="6" t="s">
        <v>75</v>
      </c>
      <c r="C20" s="6"/>
      <c r="D20" s="6"/>
      <c r="E20" s="6"/>
      <c r="F20" s="6"/>
      <c r="G20" s="6"/>
      <c r="H20" s="1"/>
      <c r="I20" s="6"/>
      <c r="J20" s="61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</row>
    <row r="21" spans="1:41">
      <c r="B21" s="6"/>
      <c r="C21" s="6" t="s">
        <v>77</v>
      </c>
      <c r="D21" s="6"/>
      <c r="E21" s="6"/>
      <c r="F21" s="6"/>
      <c r="G21" s="6"/>
      <c r="H21" s="33" t="s">
        <v>4</v>
      </c>
      <c r="I21" s="6"/>
      <c r="J21" s="61"/>
      <c r="K21" s="76"/>
      <c r="L21" s="76">
        <v>0</v>
      </c>
      <c r="M21" s="76">
        <f>L41</f>
        <v>720000</v>
      </c>
      <c r="N21" s="76">
        <f t="shared" ref="N21:AJ21" si="15">M41</f>
        <v>960000</v>
      </c>
      <c r="O21" s="76">
        <f t="shared" si="15"/>
        <v>1110000</v>
      </c>
      <c r="P21" s="76">
        <f t="shared" si="15"/>
        <v>1110000</v>
      </c>
      <c r="Q21" s="76">
        <f t="shared" si="15"/>
        <v>1053784.2375549173</v>
      </c>
      <c r="R21" s="76">
        <f t="shared" si="15"/>
        <v>974946.68065124401</v>
      </c>
      <c r="S21" s="76">
        <f t="shared" si="15"/>
        <v>878978.91848774487</v>
      </c>
      <c r="T21" s="76">
        <f t="shared" si="15"/>
        <v>780132.12345934077</v>
      </c>
      <c r="U21" s="76">
        <f t="shared" si="15"/>
        <v>678319.92458008463</v>
      </c>
      <c r="V21" s="76">
        <f t="shared" si="15"/>
        <v>573453.3597344507</v>
      </c>
      <c r="W21" s="76">
        <f t="shared" si="15"/>
        <v>465440.79794344783</v>
      </c>
      <c r="X21" s="76">
        <f t="shared" si="15"/>
        <v>354187.85929871484</v>
      </c>
      <c r="Y21" s="76">
        <f t="shared" si="15"/>
        <v>239597.33249463988</v>
      </c>
      <c r="Z21" s="76">
        <f t="shared" si="15"/>
        <v>121569.08988644266</v>
      </c>
      <c r="AA21" s="76">
        <f t="shared" si="15"/>
        <v>0</v>
      </c>
      <c r="AB21" s="76">
        <f t="shared" si="15"/>
        <v>0</v>
      </c>
      <c r="AC21" s="76">
        <f t="shared" si="15"/>
        <v>0</v>
      </c>
      <c r="AD21" s="76">
        <f t="shared" si="15"/>
        <v>0</v>
      </c>
      <c r="AE21" s="76">
        <f t="shared" si="15"/>
        <v>0</v>
      </c>
      <c r="AF21" s="76">
        <f t="shared" si="15"/>
        <v>0</v>
      </c>
      <c r="AG21" s="76">
        <f t="shared" si="15"/>
        <v>0</v>
      </c>
      <c r="AH21" s="76">
        <f t="shared" si="15"/>
        <v>0</v>
      </c>
      <c r="AI21" s="76">
        <f t="shared" si="15"/>
        <v>0</v>
      </c>
      <c r="AJ21" s="76">
        <f t="shared" si="15"/>
        <v>0</v>
      </c>
      <c r="AK21" s="76">
        <f t="shared" ref="AK21" si="16">AJ41</f>
        <v>0</v>
      </c>
      <c r="AL21" s="76">
        <f t="shared" ref="AL21" si="17">AK41</f>
        <v>0</v>
      </c>
      <c r="AM21" s="76">
        <f t="shared" ref="AM21" si="18">AL41</f>
        <v>0</v>
      </c>
      <c r="AN21" s="76">
        <f t="shared" ref="AN21:AO21" si="19">AM41</f>
        <v>0</v>
      </c>
      <c r="AO21" s="76">
        <f t="shared" si="19"/>
        <v>0</v>
      </c>
    </row>
    <row r="22" spans="1:41">
      <c r="B22" s="6"/>
      <c r="C22" s="6"/>
      <c r="D22" s="6" t="s">
        <v>78</v>
      </c>
      <c r="E22" s="6"/>
      <c r="F22" s="6"/>
      <c r="G22" s="6"/>
      <c r="H22" s="33" t="s">
        <v>4</v>
      </c>
      <c r="I22" s="29"/>
      <c r="J22" s="61">
        <f>SUM(L22:AO22)</f>
        <v>1110000</v>
      </c>
      <c r="K22" s="76"/>
      <c r="L22" s="76">
        <f>L5</f>
        <v>720000</v>
      </c>
      <c r="M22" s="76">
        <f t="shared" ref="M22:AJ22" si="20">M5</f>
        <v>240000</v>
      </c>
      <c r="N22" s="76">
        <f t="shared" si="20"/>
        <v>150000</v>
      </c>
      <c r="O22" s="76">
        <f t="shared" si="20"/>
        <v>0</v>
      </c>
      <c r="P22" s="76">
        <f t="shared" si="20"/>
        <v>0</v>
      </c>
      <c r="Q22" s="76">
        <f t="shared" si="20"/>
        <v>0</v>
      </c>
      <c r="R22" s="76">
        <f t="shared" si="20"/>
        <v>0</v>
      </c>
      <c r="S22" s="76">
        <f t="shared" si="20"/>
        <v>0</v>
      </c>
      <c r="T22" s="76">
        <f t="shared" si="20"/>
        <v>0</v>
      </c>
      <c r="U22" s="76">
        <f t="shared" si="20"/>
        <v>0</v>
      </c>
      <c r="V22" s="76">
        <f t="shared" si="20"/>
        <v>0</v>
      </c>
      <c r="W22" s="76">
        <f t="shared" si="20"/>
        <v>0</v>
      </c>
      <c r="X22" s="76">
        <f t="shared" si="20"/>
        <v>0</v>
      </c>
      <c r="Y22" s="76">
        <f t="shared" si="20"/>
        <v>0</v>
      </c>
      <c r="Z22" s="76">
        <f t="shared" si="20"/>
        <v>0</v>
      </c>
      <c r="AA22" s="76">
        <f t="shared" si="20"/>
        <v>0</v>
      </c>
      <c r="AB22" s="76">
        <f t="shared" si="20"/>
        <v>0</v>
      </c>
      <c r="AC22" s="76">
        <f t="shared" si="20"/>
        <v>0</v>
      </c>
      <c r="AD22" s="76">
        <f t="shared" si="20"/>
        <v>0</v>
      </c>
      <c r="AE22" s="76">
        <f t="shared" si="20"/>
        <v>0</v>
      </c>
      <c r="AF22" s="76">
        <f t="shared" si="20"/>
        <v>0</v>
      </c>
      <c r="AG22" s="76">
        <f t="shared" si="20"/>
        <v>0</v>
      </c>
      <c r="AH22" s="76">
        <f t="shared" si="20"/>
        <v>0</v>
      </c>
      <c r="AI22" s="76">
        <f t="shared" si="20"/>
        <v>0</v>
      </c>
      <c r="AJ22" s="76">
        <f t="shared" si="20"/>
        <v>0</v>
      </c>
      <c r="AK22" s="76">
        <f t="shared" ref="AK22:AN22" si="21">AK5</f>
        <v>0</v>
      </c>
      <c r="AL22" s="76">
        <f t="shared" si="21"/>
        <v>0</v>
      </c>
      <c r="AM22" s="76">
        <f t="shared" si="21"/>
        <v>0</v>
      </c>
      <c r="AN22" s="76">
        <f t="shared" si="21"/>
        <v>0</v>
      </c>
      <c r="AO22" s="76">
        <f t="shared" ref="AO22" si="22">AO5</f>
        <v>0</v>
      </c>
    </row>
    <row r="23" spans="1:41" s="103" customFormat="1">
      <c r="A23" s="39"/>
      <c r="B23" s="29"/>
      <c r="C23" s="29"/>
      <c r="D23" s="29" t="s">
        <v>89</v>
      </c>
      <c r="E23" s="29"/>
      <c r="F23" s="29"/>
      <c r="G23" s="29"/>
      <c r="H23" s="33" t="s">
        <v>4</v>
      </c>
      <c r="I23" s="29"/>
      <c r="J23" s="61">
        <f>SUM(L23:AO23)</f>
        <v>-1110000.0000000005</v>
      </c>
      <c r="K23" s="61"/>
      <c r="L23" s="61">
        <f>SUM(L24:L40)</f>
        <v>0</v>
      </c>
      <c r="M23" s="61">
        <f t="shared" ref="M23:AO23" si="23">SUM(M24:M40)</f>
        <v>0</v>
      </c>
      <c r="N23" s="61">
        <f t="shared" si="23"/>
        <v>0</v>
      </c>
      <c r="O23" s="61">
        <f t="shared" si="23"/>
        <v>0</v>
      </c>
      <c r="P23" s="61">
        <f t="shared" si="23"/>
        <v>-56215.762445082597</v>
      </c>
      <c r="Q23" s="61">
        <f t="shared" si="23"/>
        <v>-78837.556903673394</v>
      </c>
      <c r="R23" s="61">
        <f t="shared" si="23"/>
        <v>-95967.762163499094</v>
      </c>
      <c r="S23" s="61">
        <f t="shared" si="23"/>
        <v>-98846.795028404071</v>
      </c>
      <c r="T23" s="61">
        <f t="shared" si="23"/>
        <v>-101812.1988792562</v>
      </c>
      <c r="U23" s="61">
        <f t="shared" si="23"/>
        <v>-104866.56484563387</v>
      </c>
      <c r="V23" s="61">
        <f t="shared" si="23"/>
        <v>-108012.5617910029</v>
      </c>
      <c r="W23" s="61">
        <f t="shared" si="23"/>
        <v>-111252.93864473297</v>
      </c>
      <c r="X23" s="61">
        <f t="shared" si="23"/>
        <v>-114590.52680407497</v>
      </c>
      <c r="Y23" s="61">
        <f t="shared" si="23"/>
        <v>-118028.24260819722</v>
      </c>
      <c r="Z23" s="61">
        <f t="shared" si="23"/>
        <v>-121569.08988644314</v>
      </c>
      <c r="AA23" s="61">
        <f t="shared" si="23"/>
        <v>0</v>
      </c>
      <c r="AB23" s="61">
        <f t="shared" si="23"/>
        <v>0</v>
      </c>
      <c r="AC23" s="61">
        <f t="shared" si="23"/>
        <v>0</v>
      </c>
      <c r="AD23" s="61">
        <f t="shared" si="23"/>
        <v>0</v>
      </c>
      <c r="AE23" s="61">
        <f t="shared" si="23"/>
        <v>0</v>
      </c>
      <c r="AF23" s="61">
        <f t="shared" si="23"/>
        <v>0</v>
      </c>
      <c r="AG23" s="61">
        <f t="shared" si="23"/>
        <v>0</v>
      </c>
      <c r="AH23" s="61">
        <f t="shared" si="23"/>
        <v>0</v>
      </c>
      <c r="AI23" s="61">
        <f t="shared" si="23"/>
        <v>0</v>
      </c>
      <c r="AJ23" s="61">
        <f t="shared" si="23"/>
        <v>0</v>
      </c>
      <c r="AK23" s="61">
        <f t="shared" si="23"/>
        <v>0</v>
      </c>
      <c r="AL23" s="61">
        <f t="shared" si="23"/>
        <v>0</v>
      </c>
      <c r="AM23" s="61">
        <f t="shared" si="23"/>
        <v>0</v>
      </c>
      <c r="AN23" s="61">
        <f t="shared" si="23"/>
        <v>0</v>
      </c>
      <c r="AO23" s="61">
        <f t="shared" si="23"/>
        <v>0</v>
      </c>
    </row>
    <row r="24" spans="1:41" s="103" customFormat="1" hidden="1" outlineLevel="1">
      <c r="A24" s="39"/>
      <c r="B24" s="29"/>
      <c r="C24" s="29"/>
      <c r="D24" s="29"/>
      <c r="E24" s="29"/>
      <c r="F24" s="29">
        <v>4</v>
      </c>
      <c r="G24" s="29"/>
      <c r="H24" s="33"/>
      <c r="I24" s="29"/>
      <c r="J24" s="61"/>
      <c r="K24" s="61"/>
      <c r="L24" s="61"/>
      <c r="M24" s="61"/>
      <c r="N24" s="61"/>
      <c r="O24" s="61"/>
      <c r="P24" s="29">
        <f>IFERROR(PPMT($F$43,COUNTIF($O$24:O24,"&lt;0")+1,$E$43-$F24,$L$22),0)</f>
        <v>-56215.762445082597</v>
      </c>
      <c r="Q24" s="29">
        <f>IFERROR(PPMT($F$43,COUNTIF($O$24:P24,"&lt;0")+1,$E$43-$F24,$L$22),0)</f>
        <v>-57902.23531843508</v>
      </c>
      <c r="R24" s="29">
        <f>IFERROR(PPMT($F$43,COUNTIF($O$24:Q24,"&lt;0")+1,$E$43-$F24,$L$22),0)</f>
        <v>-59639.302377988119</v>
      </c>
      <c r="S24" s="29">
        <f>IFERROR(PPMT($F$43,COUNTIF($O$24:R24,"&lt;0")+1,$E$43-$F24,$L$22),0)</f>
        <v>-61428.481449327766</v>
      </c>
      <c r="T24" s="29">
        <f>IFERROR(PPMT($F$43,COUNTIF($O$24:S24,"&lt;0")+1,$E$43-$F24,$L$22),0)</f>
        <v>-63271.335892807605</v>
      </c>
      <c r="U24" s="29">
        <f>IFERROR(PPMT($F$43,COUNTIF($O$24:T24,"&lt;0")+1,$E$43-$F24,$L$22),0)</f>
        <v>-65169.475969591826</v>
      </c>
      <c r="V24" s="29">
        <f>IFERROR(PPMT($F$43,COUNTIF($O$24:U24,"&lt;0")+1,$E$43-$F24,$L$22),0)</f>
        <v>-67124.560248679583</v>
      </c>
      <c r="W24" s="29">
        <f>IFERROR(PPMT($F$43,COUNTIF($O$24:V24,"&lt;0")+1,$E$43-$F24,$L$22),0)</f>
        <v>-69138.297056139971</v>
      </c>
      <c r="X24" s="29">
        <f>IFERROR(PPMT($F$43,COUNTIF($O$24:W24,"&lt;0")+1,$E$43-$F24,$L$22),0)</f>
        <v>-71212.445967824169</v>
      </c>
      <c r="Y24" s="29">
        <f>IFERROR(PPMT($F$43,COUNTIF($O$24:X24,"&lt;0")+1,$E$43-$F24,$L$22),0)</f>
        <v>-73348.819346858902</v>
      </c>
      <c r="Z24" s="29">
        <f>IFERROR(PPMT($F$43,COUNTIF($O$24:Y24,"&lt;0")+1,$E$43-$F24,$L$22),0)</f>
        <v>-75549.283927264667</v>
      </c>
      <c r="AA24" s="29">
        <f>IFERROR(PPMT($F$43,COUNTIF($O$24:Z24,"&lt;0")+1,$E$43-$F24,$L$22),0)</f>
        <v>0</v>
      </c>
      <c r="AB24" s="29">
        <f>IFERROR(PPMT($F$43,COUNTIF($O$24:AA24,"&lt;0")+1,$E$43-$F24,$L$22),0)</f>
        <v>0</v>
      </c>
      <c r="AC24" s="29">
        <f>IFERROR(PPMT($F$43,COUNTIF($O$24:AB24,"&lt;0")+1,$E$43-$F24,$L$22),0)</f>
        <v>0</v>
      </c>
      <c r="AD24" s="29">
        <f>IFERROR(PPMT($F$43,COUNTIF($O$24:AC24,"&lt;0")+1,$E$43-$F24,$L$22),0)</f>
        <v>0</v>
      </c>
      <c r="AE24" s="29">
        <f>IFERROR(PPMT($F$43,COUNTIF($O$24:AD24,"&lt;0")+1,$E$43-$F24,$L$22),0)</f>
        <v>0</v>
      </c>
      <c r="AF24" s="29">
        <f>IFERROR(PPMT($F$43,COUNTIF($O$24:AE24,"&lt;0")+1,$E$43-$F24,$L$22),0)</f>
        <v>0</v>
      </c>
      <c r="AG24" s="29">
        <f>IFERROR(PPMT($F$43,COUNTIF($O$24:AF24,"&lt;0")+1,$E$43-$F24,$L$22),0)</f>
        <v>0</v>
      </c>
      <c r="AH24" s="29">
        <f>IFERROR(PPMT($F$43,COUNTIF($O$24:AG24,"&lt;0")+1,$E$43-$F24,$L$22),0)</f>
        <v>0</v>
      </c>
      <c r="AI24" s="29">
        <f>IFERROR(PPMT($F$43,COUNTIF($O$24:AH24,"&lt;0")+1,$E$43-$F24,$L$22),0)</f>
        <v>0</v>
      </c>
      <c r="AJ24" s="29">
        <f>IFERROR(PPMT($F$43,COUNTIF($O$24:AI24,"&lt;0")+1,$E$43-$F24,$L$22),0)</f>
        <v>0</v>
      </c>
      <c r="AK24" s="29">
        <f>IFERROR(PPMT($F$43,COUNTIF($O$24:AJ24,"&lt;0")+1,$E$43-$F24,$L$22),0)</f>
        <v>0</v>
      </c>
      <c r="AL24" s="29">
        <f>IFERROR(PPMT($F$43,COUNTIF($O$24:AK24,"&lt;0")+1,$E$43-$F24,$L$22),0)</f>
        <v>0</v>
      </c>
      <c r="AM24" s="29">
        <f>IFERROR(PPMT($F$43,COUNTIF($O$24:AL24,"&lt;0")+1,$E$43-$F24,$L$22),0)</f>
        <v>0</v>
      </c>
      <c r="AN24" s="29">
        <f>IFERROR(PPMT($F$43,COUNTIF($O$24:AM24,"&lt;0")+1,$E$43-$F24,$L$22),0)</f>
        <v>0</v>
      </c>
      <c r="AO24" s="29">
        <f>IFERROR(PPMT($F$43,COUNTIF($O$24:AN24,"&lt;0")+1,$E$43-$F24,$L$22),0)</f>
        <v>0</v>
      </c>
    </row>
    <row r="25" spans="1:41" s="103" customFormat="1" hidden="1" outlineLevel="1">
      <c r="A25" s="39"/>
      <c r="B25" s="29"/>
      <c r="C25" s="29"/>
      <c r="D25" s="29"/>
      <c r="E25" s="29"/>
      <c r="F25" s="29">
        <v>5</v>
      </c>
      <c r="G25" s="29"/>
      <c r="H25" s="33"/>
      <c r="I25" s="29"/>
      <c r="J25" s="61"/>
      <c r="K25" s="61"/>
      <c r="L25" s="61"/>
      <c r="M25" s="61"/>
      <c r="N25" s="61"/>
      <c r="O25" s="61"/>
      <c r="P25" s="29"/>
      <c r="Q25" s="29">
        <f>IFERROR(PPMT($F$43,COUNTIF($O$25:P25,"&lt;0")+1,$E$43-$F25,$M$22),0)</f>
        <v>-20935.321585238311</v>
      </c>
      <c r="R25" s="29">
        <f>IFERROR(PPMT($F$43,COUNTIF($O$25:Q25,"&lt;0")+1,$E$43-$F25,$M$22),0)</f>
        <v>-21563.381232795462</v>
      </c>
      <c r="S25" s="29">
        <f>IFERROR(PPMT($F$43,COUNTIF($O$25:R25,"&lt;0")+1,$E$43-$F25,$M$22),0)</f>
        <v>-22210.282669779321</v>
      </c>
      <c r="T25" s="29">
        <f>IFERROR(PPMT($F$43,COUNTIF($O$25:S25,"&lt;0")+1,$E$43-$F25,$M$22),0)</f>
        <v>-22876.591149872704</v>
      </c>
      <c r="U25" s="29">
        <f>IFERROR(PPMT($F$43,COUNTIF($O$25:T25,"&lt;0")+1,$E$43-$F25,$M$22),0)</f>
        <v>-23562.888884368884</v>
      </c>
      <c r="V25" s="29">
        <f>IFERROR(PPMT($F$43,COUNTIF($O$25:U25,"&lt;0")+1,$E$43-$F25,$M$22),0)</f>
        <v>-24269.775550899951</v>
      </c>
      <c r="W25" s="29">
        <f>IFERROR(PPMT($F$43,COUNTIF($O$25:V25,"&lt;0")+1,$E$43-$F25,$M$22),0)</f>
        <v>-24997.868817426948</v>
      </c>
      <c r="X25" s="29">
        <f>IFERROR(PPMT($F$43,COUNTIF($O$25:W25,"&lt;0")+1,$E$43-$F25,$M$22),0)</f>
        <v>-25747.804881949756</v>
      </c>
      <c r="Y25" s="29">
        <f>IFERROR(PPMT($F$43,COUNTIF($O$25:X25,"&lt;0")+1,$E$43-$F25,$M$22),0)</f>
        <v>-26520.23902840825</v>
      </c>
      <c r="Z25" s="29">
        <f>IFERROR(PPMT($F$43,COUNTIF($O$25:Y25,"&lt;0")+1,$E$43-$F25,$M$22),0)</f>
        <v>-27315.846199260497</v>
      </c>
      <c r="AA25" s="29">
        <f>IFERROR(PPMT($F$43,COUNTIF($O$25:Z25,"&lt;0")+1,$E$43-$F25,$M$22),0)</f>
        <v>0</v>
      </c>
      <c r="AB25" s="29">
        <f>IFERROR(PPMT($F$43,COUNTIF($O$25:AA25,"&lt;0")+1,$E$43-$F25,$M$22),0)</f>
        <v>0</v>
      </c>
      <c r="AC25" s="29">
        <f>IFERROR(PPMT($F$43,COUNTIF($O$25:AB25,"&lt;0")+1,$E$43-$F25,$M$22),0)</f>
        <v>0</v>
      </c>
      <c r="AD25" s="29">
        <f>IFERROR(PPMT($F$43,COUNTIF($O$25:AC25,"&lt;0")+1,$E$43-$F25,$M$22),0)</f>
        <v>0</v>
      </c>
      <c r="AE25" s="29">
        <f>IFERROR(PPMT($F$43,COUNTIF($O$25:AD25,"&lt;0")+1,$E$43-$F25,$M$22),0)</f>
        <v>0</v>
      </c>
      <c r="AF25" s="29">
        <f>IFERROR(PPMT($F$43,COUNTIF($O$25:AE25,"&lt;0")+1,$E$43-$F25,$M$22),0)</f>
        <v>0</v>
      </c>
      <c r="AG25" s="29">
        <f>IFERROR(PPMT($F$43,COUNTIF($O$25:AF25,"&lt;0")+1,$E$43-$F25,$M$22),0)</f>
        <v>0</v>
      </c>
      <c r="AH25" s="29">
        <f>IFERROR(PPMT($F$43,COUNTIF($O$25:AG25,"&lt;0")+1,$E$43-$F25,$M$22),0)</f>
        <v>0</v>
      </c>
      <c r="AI25" s="29">
        <f>IFERROR(PPMT($F$43,COUNTIF($O$25:AH25,"&lt;0")+1,$E$43-$F25,$M$22),0)</f>
        <v>0</v>
      </c>
      <c r="AJ25" s="29">
        <f>IFERROR(PPMT($F$43,COUNTIF($O$25:AI25,"&lt;0")+1,$E$43-$F25,$M$22),0)</f>
        <v>0</v>
      </c>
      <c r="AK25" s="29">
        <f>IFERROR(PPMT($F$43,COUNTIF($O$25:AJ25,"&lt;0")+1,$E$43-$F25,$M$22),0)</f>
        <v>0</v>
      </c>
      <c r="AL25" s="29">
        <f>IFERROR(PPMT($F$43,COUNTIF($O$25:AK25,"&lt;0")+1,$E$43-$F25,$M$22),0)</f>
        <v>0</v>
      </c>
      <c r="AM25" s="29">
        <f>IFERROR(PPMT($F$43,COUNTIF($O$25:AL25,"&lt;0")+1,$E$43-$F25,$M$22),0)</f>
        <v>0</v>
      </c>
      <c r="AN25" s="29">
        <f>IFERROR(PPMT($F$43,COUNTIF($O$25:AM25,"&lt;0")+1,$E$43-$F25,$M$22),0)</f>
        <v>0</v>
      </c>
      <c r="AO25" s="29">
        <f>IFERROR(PPMT($F$43,COUNTIF($O$25:AN25,"&lt;0")+1,$E$43-$F25,$M$22),0)</f>
        <v>0</v>
      </c>
    </row>
    <row r="26" spans="1:41" s="103" customFormat="1" hidden="1" outlineLevel="1">
      <c r="A26" s="39"/>
      <c r="B26" s="29"/>
      <c r="C26" s="29"/>
      <c r="D26" s="29"/>
      <c r="E26" s="29"/>
      <c r="F26" s="29">
        <v>6</v>
      </c>
      <c r="G26" s="29"/>
      <c r="H26" s="33"/>
      <c r="I26" s="29"/>
      <c r="J26" s="61"/>
      <c r="K26" s="61"/>
      <c r="L26" s="61"/>
      <c r="M26" s="61"/>
      <c r="N26" s="61"/>
      <c r="O26" s="61"/>
      <c r="P26" s="29"/>
      <c r="Q26" s="29"/>
      <c r="R26" s="29">
        <f>IFERROR(PPMT($F$43,COUNTIF($O$26:Q26,"&lt;0")+1,$E$43-$F26,$N$22),0)</f>
        <v>-14765.078552715513</v>
      </c>
      <c r="S26" s="29">
        <f>IFERROR(PPMT($F$43,COUNTIF($O$26:R26,"&lt;0")+1,$E$43-$F26,$N$22),0)</f>
        <v>-15208.03090929698</v>
      </c>
      <c r="T26" s="29">
        <f>IFERROR(PPMT($F$43,COUNTIF($O$26:S26,"&lt;0")+1,$E$43-$F26,$N$22),0)</f>
        <v>-15664.271836575886</v>
      </c>
      <c r="U26" s="29">
        <f>IFERROR(PPMT($F$43,COUNTIF($O$26:T26,"&lt;0")+1,$E$43-$F26,$N$22),0)</f>
        <v>-16134.199991673166</v>
      </c>
      <c r="V26" s="29">
        <f>IFERROR(PPMT($F$43,COUNTIF($O$26:U26,"&lt;0")+1,$E$43-$F26,$N$22),0)</f>
        <v>-16618.225991423358</v>
      </c>
      <c r="W26" s="29">
        <f>IFERROR(PPMT($F$43,COUNTIF($O$26:V26,"&lt;0")+1,$E$43-$F26,$N$22),0)</f>
        <v>-17116.772771166059</v>
      </c>
      <c r="X26" s="29">
        <f>IFERROR(PPMT($F$43,COUNTIF($O$26:W26,"&lt;0")+1,$E$43-$F26,$N$22),0)</f>
        <v>-17630.27595430104</v>
      </c>
      <c r="Y26" s="29">
        <f>IFERROR(PPMT($F$43,COUNTIF($O$26:X26,"&lt;0")+1,$E$43-$F26,$N$22),0)</f>
        <v>-18159.184232930074</v>
      </c>
      <c r="Z26" s="29">
        <f>IFERROR(PPMT($F$43,COUNTIF($O$26:Y26,"&lt;0")+1,$E$43-$F26,$N$22),0)</f>
        <v>-18703.959759917972</v>
      </c>
      <c r="AA26" s="29">
        <f>IFERROR(PPMT($F$43,COUNTIF($O$26:Z26,"&lt;0")+1,$E$43-$F26,$N$22),0)</f>
        <v>0</v>
      </c>
      <c r="AB26" s="29">
        <f>IFERROR(PPMT($F$43,COUNTIF($O$26:AA26,"&lt;0")+1,$E$43-$F26,$N$22),0)</f>
        <v>0</v>
      </c>
      <c r="AC26" s="29">
        <f>IFERROR(PPMT($F$43,COUNTIF($O$26:AB26,"&lt;0")+1,$E$43-$F26,$N$22),0)</f>
        <v>0</v>
      </c>
      <c r="AD26" s="29">
        <f>IFERROR(PPMT($F$43,COUNTIF($O$26:AC26,"&lt;0")+1,$E$43-$F26,$N$22),0)</f>
        <v>0</v>
      </c>
      <c r="AE26" s="29">
        <f>IFERROR(PPMT($F$43,COUNTIF($O$26:AD26,"&lt;0")+1,$E$43-$F26,$N$22),0)</f>
        <v>0</v>
      </c>
      <c r="AF26" s="29">
        <f>IFERROR(PPMT($F$43,COUNTIF($O$26:AE26,"&lt;0")+1,$E$43-$F26,$N$22),0)</f>
        <v>0</v>
      </c>
      <c r="AG26" s="29">
        <f>IFERROR(PPMT($F$43,COUNTIF($O$26:AF26,"&lt;0")+1,$E$43-$F26,$N$22),0)</f>
        <v>0</v>
      </c>
      <c r="AH26" s="29">
        <f>IFERROR(PPMT($F$43,COUNTIF($O$26:AG26,"&lt;0")+1,$E$43-$F26,$N$22),0)</f>
        <v>0</v>
      </c>
      <c r="AI26" s="29">
        <f>IFERROR(PPMT($F$43,COUNTIF($O$26:AH26,"&lt;0")+1,$E$43-$F26,$N$22),0)</f>
        <v>0</v>
      </c>
      <c r="AJ26" s="29">
        <f>IFERROR(PPMT($F$43,COUNTIF($O$26:AI26,"&lt;0")+1,$E$43-$F26,$N$22),0)</f>
        <v>0</v>
      </c>
      <c r="AK26" s="29">
        <f>IFERROR(PPMT($F$43,COUNTIF($O$26:AJ26,"&lt;0")+1,$E$43-$F26,$N$22),0)</f>
        <v>0</v>
      </c>
      <c r="AL26" s="29">
        <f>IFERROR(PPMT($F$43,COUNTIF($O$26:AK26,"&lt;0")+1,$E$43-$F26,$N$22),0)</f>
        <v>0</v>
      </c>
      <c r="AM26" s="29">
        <f>IFERROR(PPMT($F$43,COUNTIF($O$26:AL26,"&lt;0")+1,$E$43-$F26,$N$22),0)</f>
        <v>0</v>
      </c>
      <c r="AN26" s="29">
        <f>IFERROR(PPMT($F$43,COUNTIF($O$26:AM26,"&lt;0")+1,$E$43-$F26,$N$22),0)</f>
        <v>0</v>
      </c>
      <c r="AO26" s="29">
        <f>IFERROR(PPMT($F$43,COUNTIF($O$26:AN26,"&lt;0")+1,$E$43-$F26,$N$22),0)</f>
        <v>0</v>
      </c>
    </row>
    <row r="27" spans="1:41" s="103" customFormat="1" hidden="1" outlineLevel="1">
      <c r="A27" s="39"/>
      <c r="B27" s="29"/>
      <c r="C27" s="29"/>
      <c r="D27" s="29"/>
      <c r="E27" s="29"/>
      <c r="F27" s="29">
        <v>7</v>
      </c>
      <c r="G27" s="29"/>
      <c r="H27" s="33"/>
      <c r="I27" s="29"/>
      <c r="J27" s="61"/>
      <c r="K27" s="61"/>
      <c r="L27" s="61"/>
      <c r="M27" s="61"/>
      <c r="N27" s="61"/>
      <c r="O27" s="61"/>
      <c r="P27" s="29"/>
      <c r="Q27" s="29"/>
      <c r="R27" s="29"/>
      <c r="S27" s="29">
        <f>IFERROR(PPMT($F$43,COUNTIF($O$27:R27,"&lt;0")+1,$E$43-$F27,$O$22),0)</f>
        <v>0</v>
      </c>
      <c r="T27" s="29">
        <f>IFERROR(PPMT($F$43,COUNTIF($O$27:S27,"&lt;0")+1,$E$43-$F27,$O$22),0)</f>
        <v>0</v>
      </c>
      <c r="U27" s="29">
        <f>IFERROR(PPMT($F$43,COUNTIF($O$27:T27,"&lt;0")+1,$E$43-$F27,$O$22),0)</f>
        <v>0</v>
      </c>
      <c r="V27" s="29">
        <f>IFERROR(PPMT($F$43,COUNTIF($O$27:U27,"&lt;0")+1,$E$43-$F27,$O$22),0)</f>
        <v>0</v>
      </c>
      <c r="W27" s="29">
        <f>IFERROR(PPMT($F$43,COUNTIF($O$27:V27,"&lt;0")+1,$E$43-$F27,$O$22),0)</f>
        <v>0</v>
      </c>
      <c r="X27" s="29">
        <f>IFERROR(PPMT($F$43,COUNTIF($O$27:W27,"&lt;0")+1,$E$43-$F27,$O$22),0)</f>
        <v>0</v>
      </c>
      <c r="Y27" s="29">
        <f>IFERROR(PPMT($F$43,COUNTIF($O$27:X27,"&lt;0")+1,$E$43-$F27,$O$22),0)</f>
        <v>0</v>
      </c>
      <c r="Z27" s="29">
        <f>IFERROR(PPMT($F$43,COUNTIF($O$27:Y27,"&lt;0")+1,$E$43-$F27,$O$22),0)</f>
        <v>0</v>
      </c>
      <c r="AA27" s="29">
        <f>IFERROR(PPMT($F$43,COUNTIF($O$27:Z27,"&lt;0")+1,$E$43-$F27,$O$22),0)</f>
        <v>0</v>
      </c>
      <c r="AB27" s="29">
        <f>IFERROR(PPMT($F$43,COUNTIF($O$27:AA27,"&lt;0")+1,$E$43-$F27,$O$22),0)</f>
        <v>0</v>
      </c>
      <c r="AC27" s="29">
        <f>IFERROR(PPMT($F$43,COUNTIF($O$27:AB27,"&lt;0")+1,$E$43-$F27,$O$22),0)</f>
        <v>0</v>
      </c>
      <c r="AD27" s="29">
        <f>IFERROR(PPMT($F$43,COUNTIF($O$27:AC27,"&lt;0")+1,$E$43-$F27,$O$22),0)</f>
        <v>0</v>
      </c>
      <c r="AE27" s="29">
        <f>IFERROR(PPMT($F$43,COUNTIF($O$27:AD27,"&lt;0")+1,$E$43-$F27,$O$22),0)</f>
        <v>0</v>
      </c>
      <c r="AF27" s="29">
        <f>IFERROR(PPMT($F$43,COUNTIF($O$27:AE27,"&lt;0")+1,$E$43-$F27,$O$22),0)</f>
        <v>0</v>
      </c>
      <c r="AG27" s="29">
        <f>IFERROR(PPMT($F$43,COUNTIF($O$27:AF27,"&lt;0")+1,$E$43-$F27,$O$22),0)</f>
        <v>0</v>
      </c>
      <c r="AH27" s="29">
        <f>IFERROR(PPMT($F$43,COUNTIF($O$27:AG27,"&lt;0")+1,$E$43-$F27,$O$22),0)</f>
        <v>0</v>
      </c>
      <c r="AI27" s="29">
        <f>IFERROR(PPMT($F$43,COUNTIF($O$27:AH27,"&lt;0")+1,$E$43-$F27,$O$22),0)</f>
        <v>0</v>
      </c>
      <c r="AJ27" s="29">
        <f>IFERROR(PPMT($F$43,COUNTIF($O$27:AI27,"&lt;0")+1,$E$43-$F27,$O$22),0)</f>
        <v>0</v>
      </c>
      <c r="AK27" s="29">
        <f>IFERROR(PPMT($F$43,COUNTIF($O$27:AJ27,"&lt;0")+1,$E$43-$F27,$O$22),0)</f>
        <v>0</v>
      </c>
      <c r="AL27" s="29">
        <f>IFERROR(PPMT($F$43,COUNTIF($O$27:AK27,"&lt;0")+1,$E$43-$F27,$O$22),0)</f>
        <v>0</v>
      </c>
      <c r="AM27" s="29">
        <f>IFERROR(PPMT($F$43,COUNTIF($O$27:AL27,"&lt;0")+1,$E$43-$F27,$O$22),0)</f>
        <v>0</v>
      </c>
      <c r="AN27" s="29">
        <f>IFERROR(PPMT($F$43,COUNTIF($O$27:AM27,"&lt;0")+1,$E$43-$F27,$O$22),0)</f>
        <v>0</v>
      </c>
      <c r="AO27" s="29">
        <f>IFERROR(PPMT($F$43,COUNTIF($O$27:AN27,"&lt;0")+1,$E$43-$F27,$O$22),0)</f>
        <v>0</v>
      </c>
    </row>
    <row r="28" spans="1:41" s="103" customFormat="1" hidden="1" outlineLevel="1">
      <c r="A28" s="39"/>
      <c r="B28" s="29"/>
      <c r="C28" s="29"/>
      <c r="D28" s="29"/>
      <c r="E28" s="29"/>
      <c r="F28" s="29">
        <v>8</v>
      </c>
      <c r="G28" s="29"/>
      <c r="H28" s="33"/>
      <c r="I28" s="29"/>
      <c r="J28" s="61"/>
      <c r="K28" s="61"/>
      <c r="L28" s="61"/>
      <c r="M28" s="61"/>
      <c r="N28" s="61"/>
      <c r="O28" s="61"/>
      <c r="P28" s="29"/>
      <c r="Q28" s="29"/>
      <c r="R28" s="29"/>
      <c r="S28" s="29"/>
      <c r="T28" s="29">
        <f>IFERROR(PPMT($F$43,COUNTIF($O$28:S28,"&lt;0")+1,$E$43-$F28,$P$22),0)</f>
        <v>0</v>
      </c>
      <c r="U28" s="29">
        <f>IFERROR(PPMT($F$43,COUNTIF($O$28:T28,"&lt;0")+1,$E$43-$F28,$P$22),0)</f>
        <v>0</v>
      </c>
      <c r="V28" s="29">
        <f>IFERROR(PPMT($F$43,COUNTIF($O$28:U28,"&lt;0")+1,$E$43-$F28,$P$22),0)</f>
        <v>0</v>
      </c>
      <c r="W28" s="29">
        <f>IFERROR(PPMT($F$43,COUNTIF($O$28:V28,"&lt;0")+1,$E$43-$F28,$P$22),0)</f>
        <v>0</v>
      </c>
      <c r="X28" s="29">
        <f>IFERROR(PPMT($F$43,COUNTIF($O$28:W28,"&lt;0")+1,$E$43-$F28,$P$22),0)</f>
        <v>0</v>
      </c>
      <c r="Y28" s="29">
        <f>IFERROR(PPMT($F$43,COUNTIF($O$28:X28,"&lt;0")+1,$E$43-$F28,$P$22),0)</f>
        <v>0</v>
      </c>
      <c r="Z28" s="29">
        <f>IFERROR(PPMT($F$43,COUNTIF($O$28:Y28,"&lt;0")+1,$E$43-$F28,$P$22),0)</f>
        <v>0</v>
      </c>
      <c r="AA28" s="29">
        <f>IFERROR(PPMT($F$43,COUNTIF($O$28:Z28,"&lt;0")+1,$E$43-$F28,$P$22),0)</f>
        <v>0</v>
      </c>
      <c r="AB28" s="29">
        <f>IFERROR(PPMT($F$43,COUNTIF($O$28:AA28,"&lt;0")+1,$E$43-$F28,$P$22),0)</f>
        <v>0</v>
      </c>
      <c r="AC28" s="29">
        <f>IFERROR(PPMT($F$43,COUNTIF($O$28:AB28,"&lt;0")+1,$E$43-$F28,$P$22),0)</f>
        <v>0</v>
      </c>
      <c r="AD28" s="29">
        <f>IFERROR(PPMT($F$43,COUNTIF($O$28:AC28,"&lt;0")+1,$E$43-$F28,$P$22),0)</f>
        <v>0</v>
      </c>
      <c r="AE28" s="29">
        <f>IFERROR(PPMT($F$43,COUNTIF($O$28:AD28,"&lt;0")+1,$E$43-$F28,$P$22),0)</f>
        <v>0</v>
      </c>
      <c r="AF28" s="29">
        <f>IFERROR(PPMT($F$43,COUNTIF($O$28:AE28,"&lt;0")+1,$E$43-$F28,$P$22),0)</f>
        <v>0</v>
      </c>
      <c r="AG28" s="29">
        <f>IFERROR(PPMT($F$43,COUNTIF($O$28:AF28,"&lt;0")+1,$E$43-$F28,$P$22),0)</f>
        <v>0</v>
      </c>
      <c r="AH28" s="29">
        <f>IFERROR(PPMT($F$43,COUNTIF($O$28:AG28,"&lt;0")+1,$E$43-$F28,$P$22),0)</f>
        <v>0</v>
      </c>
      <c r="AI28" s="29">
        <f>IFERROR(PPMT($F$43,COUNTIF($O$28:AH28,"&lt;0")+1,$E$43-$F28,$P$22),0)</f>
        <v>0</v>
      </c>
      <c r="AJ28" s="29">
        <f>IFERROR(PPMT($F$43,COUNTIF($O$28:AI28,"&lt;0")+1,$E$43-$F28,$P$22),0)</f>
        <v>0</v>
      </c>
      <c r="AK28" s="29">
        <f>IFERROR(PPMT($F$43,COUNTIF($O$28:AJ28,"&lt;0")+1,$E$43-$F28,$P$22),0)</f>
        <v>0</v>
      </c>
      <c r="AL28" s="29">
        <f>IFERROR(PPMT($F$43,COUNTIF($O$28:AK28,"&lt;0")+1,$E$43-$F28,$P$22),0)</f>
        <v>0</v>
      </c>
      <c r="AM28" s="29">
        <f>IFERROR(PPMT($F$43,COUNTIF($O$28:AL28,"&lt;0")+1,$E$43-$F28,$P$22),0)</f>
        <v>0</v>
      </c>
      <c r="AN28" s="29">
        <f>IFERROR(PPMT($F$43,COUNTIF($O$28:AM28,"&lt;0")+1,$E$43-$F28,$P$22),0)</f>
        <v>0</v>
      </c>
      <c r="AO28" s="29">
        <f>IFERROR(PPMT($F$43,COUNTIF($O$28:AN28,"&lt;0")+1,$E$43-$F28,$P$22),0)</f>
        <v>0</v>
      </c>
    </row>
    <row r="29" spans="1:41" s="103" customFormat="1" hidden="1" outlineLevel="1">
      <c r="A29" s="39"/>
      <c r="B29" s="29"/>
      <c r="C29" s="29"/>
      <c r="D29" s="29"/>
      <c r="E29" s="29"/>
      <c r="F29" s="29">
        <v>9</v>
      </c>
      <c r="G29" s="29"/>
      <c r="H29" s="33"/>
      <c r="I29" s="29"/>
      <c r="J29" s="61"/>
      <c r="K29" s="61"/>
      <c r="L29" s="61"/>
      <c r="M29" s="61"/>
      <c r="N29" s="61"/>
      <c r="O29" s="61"/>
      <c r="P29" s="29"/>
      <c r="Q29" s="29"/>
      <c r="R29" s="29"/>
      <c r="S29" s="29"/>
      <c r="T29" s="29"/>
      <c r="U29" s="29">
        <f>IFERROR(PPMT($F$43,COUNTIF($O$29:T29,"&lt;0")+1,$E$43-$F29,$Q$22),0)</f>
        <v>0</v>
      </c>
      <c r="V29" s="29">
        <f>IFERROR(PPMT($F$43,COUNTIF($O$29:U29,"&lt;0")+1,$E$43-$F29,$Q$22),0)</f>
        <v>0</v>
      </c>
      <c r="W29" s="29">
        <f>IFERROR(PPMT($F$43,COUNTIF($O$29:V29,"&lt;0")+1,$E$43-$F29,$Q$22),0)</f>
        <v>0</v>
      </c>
      <c r="X29" s="29">
        <f>IFERROR(PPMT($F$43,COUNTIF($O$29:W29,"&lt;0")+1,$E$43-$F29,$Q$22),0)</f>
        <v>0</v>
      </c>
      <c r="Y29" s="29">
        <f>IFERROR(PPMT($F$43,COUNTIF($O$29:X29,"&lt;0")+1,$E$43-$F29,$Q$22),0)</f>
        <v>0</v>
      </c>
      <c r="Z29" s="29">
        <f>IFERROR(PPMT($F$43,COUNTIF($O$29:Y29,"&lt;0")+1,$E$43-$F29,$Q$22),0)</f>
        <v>0</v>
      </c>
      <c r="AA29" s="29">
        <f>IFERROR(PPMT($F$43,COUNTIF($O$29:Z29,"&lt;0")+1,$E$43-$F29,$Q$22),0)</f>
        <v>0</v>
      </c>
      <c r="AB29" s="29">
        <f>IFERROR(PPMT($F$43,COUNTIF($O$29:AA29,"&lt;0")+1,$E$43-$F29,$Q$22),0)</f>
        <v>0</v>
      </c>
      <c r="AC29" s="29">
        <f>IFERROR(PPMT($F$43,COUNTIF($O$29:AB29,"&lt;0")+1,$E$43-$F29,$Q$22),0)</f>
        <v>0</v>
      </c>
      <c r="AD29" s="29">
        <f>IFERROR(PPMT($F$43,COUNTIF($O$29:AC29,"&lt;0")+1,$E$43-$F29,$Q$22),0)</f>
        <v>0</v>
      </c>
      <c r="AE29" s="29">
        <f>IFERROR(PPMT($F$43,COUNTIF($O$29:AD29,"&lt;0")+1,$E$43-$F29,$Q$22),0)</f>
        <v>0</v>
      </c>
      <c r="AF29" s="29">
        <f>IFERROR(PPMT($F$43,COUNTIF($O$29:AE29,"&lt;0")+1,$E$43-$F29,$Q$22),0)</f>
        <v>0</v>
      </c>
      <c r="AG29" s="29">
        <f>IFERROR(PPMT($F$43,COUNTIF($O$29:AF29,"&lt;0")+1,$E$43-$F29,$Q$22),0)</f>
        <v>0</v>
      </c>
      <c r="AH29" s="29">
        <f>IFERROR(PPMT($F$43,COUNTIF($O$29:AG29,"&lt;0")+1,$E$43-$F29,$Q$22),0)</f>
        <v>0</v>
      </c>
      <c r="AI29" s="29">
        <f>IFERROR(PPMT($F$43,COUNTIF($O$29:AH29,"&lt;0")+1,$E$43-$F29,$Q$22),0)</f>
        <v>0</v>
      </c>
      <c r="AJ29" s="29">
        <f>IFERROR(PPMT($F$43,COUNTIF($O$29:AI29,"&lt;0")+1,$E$43-$F29,$Q$22),0)</f>
        <v>0</v>
      </c>
      <c r="AK29" s="29">
        <f>IFERROR(PPMT($F$43,COUNTIF($O$29:AJ29,"&lt;0")+1,$E$43-$F29,$Q$22),0)</f>
        <v>0</v>
      </c>
      <c r="AL29" s="29">
        <f>IFERROR(PPMT($F$43,COUNTIF($O$29:AK29,"&lt;0")+1,$E$43-$F29,$Q$22),0)</f>
        <v>0</v>
      </c>
      <c r="AM29" s="29">
        <f>IFERROR(PPMT($F$43,COUNTIF($O$29:AL29,"&lt;0")+1,$E$43-$F29,$Q$22),0)</f>
        <v>0</v>
      </c>
      <c r="AN29" s="29">
        <f>IFERROR(PPMT($F$43,COUNTIF($O$29:AM29,"&lt;0")+1,$E$43-$F29,$Q$22),0)</f>
        <v>0</v>
      </c>
      <c r="AO29" s="29">
        <f>IFERROR(PPMT($F$43,COUNTIF($O$29:AN29,"&lt;0")+1,$E$43-$F29,$Q$22),0)</f>
        <v>0</v>
      </c>
    </row>
    <row r="30" spans="1:41" s="103" customFormat="1" hidden="1" outlineLevel="1">
      <c r="A30" s="39"/>
      <c r="B30" s="29"/>
      <c r="C30" s="29"/>
      <c r="D30" s="29"/>
      <c r="E30" s="29"/>
      <c r="F30" s="29">
        <v>10</v>
      </c>
      <c r="G30" s="29"/>
      <c r="H30" s="33"/>
      <c r="I30" s="29"/>
      <c r="J30" s="61"/>
      <c r="K30" s="61"/>
      <c r="L30" s="61"/>
      <c r="M30" s="61"/>
      <c r="N30" s="61"/>
      <c r="O30" s="61"/>
      <c r="P30" s="29"/>
      <c r="Q30" s="29"/>
      <c r="R30" s="29"/>
      <c r="S30" s="29"/>
      <c r="T30" s="29"/>
      <c r="U30" s="29"/>
      <c r="V30" s="29">
        <f>IFERROR(PPMT($F$43,COUNTIF($O$30:U30,"&lt;0")+1,$E$43-$F30,$R$22),0)</f>
        <v>0</v>
      </c>
      <c r="W30" s="29">
        <f>IFERROR(PPMT($F$43,COUNTIF($O$30:V30,"&lt;0")+1,$E$43-$F30,$R$22),0)</f>
        <v>0</v>
      </c>
      <c r="X30" s="29">
        <f>IFERROR(PPMT($F$43,COUNTIF($O$30:W30,"&lt;0")+1,$E$43-$F30,$R$22),0)</f>
        <v>0</v>
      </c>
      <c r="Y30" s="29">
        <f>IFERROR(PPMT($F$43,COUNTIF($O$30:X30,"&lt;0")+1,$E$43-$F30,$R$22),0)</f>
        <v>0</v>
      </c>
      <c r="Z30" s="29">
        <f>IFERROR(PPMT($F$43,COUNTIF($O$30:Y30,"&lt;0")+1,$E$43-$F30,$R$22),0)</f>
        <v>0</v>
      </c>
      <c r="AA30" s="29">
        <f>IFERROR(PPMT($F$43,COUNTIF($O$30:Z30,"&lt;0")+1,$E$43-$F30,$R$22),0)</f>
        <v>0</v>
      </c>
      <c r="AB30" s="29">
        <f>IFERROR(PPMT($F$43,COUNTIF($O$30:AA30,"&lt;0")+1,$E$43-$F30,$R$22),0)</f>
        <v>0</v>
      </c>
      <c r="AC30" s="29">
        <f>IFERROR(PPMT($F$43,COUNTIF($O$30:AB30,"&lt;0")+1,$E$43-$F30,$R$22),0)</f>
        <v>0</v>
      </c>
      <c r="AD30" s="29">
        <f>IFERROR(PPMT($F$43,COUNTIF($O$30:AC30,"&lt;0")+1,$E$43-$F30,$R$22),0)</f>
        <v>0</v>
      </c>
      <c r="AE30" s="29">
        <f>IFERROR(PPMT($F$43,COUNTIF($O$30:AD30,"&lt;0")+1,$E$43-$F30,$R$22),0)</f>
        <v>0</v>
      </c>
      <c r="AF30" s="29">
        <f>IFERROR(PPMT($F$43,COUNTIF($O$30:AE30,"&lt;0")+1,$E$43-$F30,$R$22),0)</f>
        <v>0</v>
      </c>
      <c r="AG30" s="29">
        <f>IFERROR(PPMT($F$43,COUNTIF($O$30:AF30,"&lt;0")+1,$E$43-$F30,$R$22),0)</f>
        <v>0</v>
      </c>
      <c r="AH30" s="29">
        <f>IFERROR(PPMT($F$43,COUNTIF($O$30:AG30,"&lt;0")+1,$E$43-$F30,$R$22),0)</f>
        <v>0</v>
      </c>
      <c r="AI30" s="29">
        <f>IFERROR(PPMT($F$43,COUNTIF($O$30:AH30,"&lt;0")+1,$E$43-$F30,$R$22),0)</f>
        <v>0</v>
      </c>
      <c r="AJ30" s="29">
        <f>IFERROR(PPMT($F$43,COUNTIF($O$30:AI30,"&lt;0")+1,$E$43-$F30,$R$22),0)</f>
        <v>0</v>
      </c>
      <c r="AK30" s="29">
        <f>IFERROR(PPMT($F$43,COUNTIF($O$30:AJ30,"&lt;0")+1,$E$43-$F30,$R$22),0)</f>
        <v>0</v>
      </c>
      <c r="AL30" s="29">
        <f>IFERROR(PPMT($F$43,COUNTIF($O$30:AK30,"&lt;0")+1,$E$43-$F30,$R$22),0)</f>
        <v>0</v>
      </c>
      <c r="AM30" s="29">
        <f>IFERROR(PPMT($F$43,COUNTIF($O$30:AL30,"&lt;0")+1,$E$43-$F30,$R$22),0)</f>
        <v>0</v>
      </c>
      <c r="AN30" s="29">
        <f>IFERROR(PPMT($F$43,COUNTIF($O$30:AM30,"&lt;0")+1,$E$43-$F30,$R$22),0)</f>
        <v>0</v>
      </c>
      <c r="AO30" s="29">
        <f>IFERROR(PPMT($F$43,COUNTIF($O$30:AN30,"&lt;0")+1,$E$43-$F30,$R$22),0)</f>
        <v>0</v>
      </c>
    </row>
    <row r="31" spans="1:41" s="103" customFormat="1" hidden="1" outlineLevel="1">
      <c r="A31" s="39"/>
      <c r="B31" s="29"/>
      <c r="C31" s="29"/>
      <c r="D31" s="29"/>
      <c r="E31" s="29"/>
      <c r="F31" s="29">
        <v>11</v>
      </c>
      <c r="G31" s="29"/>
      <c r="H31" s="33"/>
      <c r="I31" s="29"/>
      <c r="J31" s="61"/>
      <c r="K31" s="61"/>
      <c r="L31" s="61"/>
      <c r="M31" s="61"/>
      <c r="N31" s="61"/>
      <c r="O31" s="61"/>
      <c r="P31" s="29"/>
      <c r="Q31" s="29"/>
      <c r="R31" s="29"/>
      <c r="S31" s="29"/>
      <c r="T31" s="29"/>
      <c r="U31" s="29"/>
      <c r="V31" s="29"/>
      <c r="W31" s="29">
        <f>IFERROR(PPMT($F$43,COUNTIF($O$31:V31,"&lt;0")+1,$E$43-$F31,$S$22),0)</f>
        <v>0</v>
      </c>
      <c r="X31" s="29">
        <f>IFERROR(PPMT($F$43,COUNTIF($O$31:W31,"&lt;0")+1,$E$43-$F31,$S$22),0)</f>
        <v>0</v>
      </c>
      <c r="Y31" s="29">
        <f>IFERROR(PPMT($F$43,COUNTIF($O$31:X31,"&lt;0")+1,$E$43-$F31,$S$22),0)</f>
        <v>0</v>
      </c>
      <c r="Z31" s="29">
        <f>IFERROR(PPMT($F$43,COUNTIF($O$31:Y31,"&lt;0")+1,$E$43-$F31,$S$22),0)</f>
        <v>0</v>
      </c>
      <c r="AA31" s="29">
        <f>IFERROR(PPMT($F$43,COUNTIF($O$31:Z31,"&lt;0")+1,$E$43-$F31,$S$22),0)</f>
        <v>0</v>
      </c>
      <c r="AB31" s="29">
        <f>IFERROR(PPMT($F$43,COUNTIF($O$31:AA31,"&lt;0")+1,$E$43-$F31,$S$22),0)</f>
        <v>0</v>
      </c>
      <c r="AC31" s="29">
        <f>IFERROR(PPMT($F$43,COUNTIF($O$31:AB31,"&lt;0")+1,$E$43-$F31,$S$22),0)</f>
        <v>0</v>
      </c>
      <c r="AD31" s="29">
        <f>IFERROR(PPMT($F$43,COUNTIF($O$31:AC31,"&lt;0")+1,$E$43-$F31,$S$22),0)</f>
        <v>0</v>
      </c>
      <c r="AE31" s="29">
        <f>IFERROR(PPMT($F$43,COUNTIF($O$31:AD31,"&lt;0")+1,$E$43-$F31,$S$22),0)</f>
        <v>0</v>
      </c>
      <c r="AF31" s="29">
        <f>IFERROR(PPMT($F$43,COUNTIF($O$31:AE31,"&lt;0")+1,$E$43-$F31,$S$22),0)</f>
        <v>0</v>
      </c>
      <c r="AG31" s="29">
        <f>IFERROR(PPMT($F$43,COUNTIF($O$31:AF31,"&lt;0")+1,$E$43-$F31,$S$22),0)</f>
        <v>0</v>
      </c>
      <c r="AH31" s="29">
        <f>IFERROR(PPMT($F$43,COUNTIF($O$31:AG31,"&lt;0")+1,$E$43-$F31,$S$22),0)</f>
        <v>0</v>
      </c>
      <c r="AI31" s="29">
        <f>IFERROR(PPMT($F$43,COUNTIF($O$31:AH31,"&lt;0")+1,$E$43-$F31,$S$22),0)</f>
        <v>0</v>
      </c>
      <c r="AJ31" s="29">
        <f>IFERROR(PPMT($F$43,COUNTIF($O$31:AI31,"&lt;0")+1,$E$43-$F31,$S$22),0)</f>
        <v>0</v>
      </c>
      <c r="AK31" s="29">
        <f>IFERROR(PPMT($F$43,COUNTIF($O$31:AJ31,"&lt;0")+1,$E$43-$F31,$S$22),0)</f>
        <v>0</v>
      </c>
      <c r="AL31" s="29">
        <f>IFERROR(PPMT($F$43,COUNTIF($O$31:AK31,"&lt;0")+1,$E$43-$F31,$S$22),0)</f>
        <v>0</v>
      </c>
      <c r="AM31" s="29">
        <f>IFERROR(PPMT($F$43,COUNTIF($O$31:AL31,"&lt;0")+1,$E$43-$F31,$S$22),0)</f>
        <v>0</v>
      </c>
      <c r="AN31" s="29">
        <f>IFERROR(PPMT($F$43,COUNTIF($O$31:AM31,"&lt;0")+1,$E$43-$F31,$S$22),0)</f>
        <v>0</v>
      </c>
      <c r="AO31" s="29">
        <f>IFERROR(PPMT($F$43,COUNTIF($O$31:AN31,"&lt;0")+1,$E$43-$F31,$S$22),0)</f>
        <v>0</v>
      </c>
    </row>
    <row r="32" spans="1:41" s="103" customFormat="1" hidden="1" outlineLevel="1">
      <c r="A32" s="39"/>
      <c r="B32" s="29"/>
      <c r="C32" s="29"/>
      <c r="D32" s="29"/>
      <c r="E32" s="29"/>
      <c r="F32" s="29">
        <v>12</v>
      </c>
      <c r="G32" s="29"/>
      <c r="H32" s="33"/>
      <c r="I32" s="29"/>
      <c r="J32" s="61"/>
      <c r="K32" s="61"/>
      <c r="L32" s="61"/>
      <c r="M32" s="61"/>
      <c r="N32" s="61"/>
      <c r="O32" s="6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s="103" customFormat="1" hidden="1" outlineLevel="1">
      <c r="A33" s="39"/>
      <c r="B33" s="29"/>
      <c r="C33" s="29"/>
      <c r="D33" s="29"/>
      <c r="E33" s="29"/>
      <c r="F33" s="29">
        <v>13</v>
      </c>
      <c r="G33" s="29"/>
      <c r="H33" s="33"/>
      <c r="I33" s="29"/>
      <c r="J33" s="61"/>
      <c r="K33" s="61"/>
      <c r="L33" s="61"/>
      <c r="M33" s="61"/>
      <c r="N33" s="61"/>
      <c r="O33" s="6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s="103" customFormat="1" hidden="1" outlineLevel="1">
      <c r="A34" s="39"/>
      <c r="B34" s="29"/>
      <c r="C34" s="29"/>
      <c r="D34" s="29"/>
      <c r="E34" s="29"/>
      <c r="F34" s="29">
        <v>14</v>
      </c>
      <c r="G34" s="29"/>
      <c r="H34" s="33"/>
      <c r="I34" s="29"/>
      <c r="J34" s="61"/>
      <c r="K34" s="61"/>
      <c r="L34" s="61"/>
      <c r="M34" s="61"/>
      <c r="N34" s="61"/>
      <c r="O34" s="6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s="103" customFormat="1" hidden="1" outlineLevel="1">
      <c r="A35" s="39"/>
      <c r="B35" s="29"/>
      <c r="C35" s="29"/>
      <c r="D35" s="29"/>
      <c r="E35" s="29"/>
      <c r="F35" s="29">
        <v>15</v>
      </c>
      <c r="G35" s="29"/>
      <c r="H35" s="33"/>
      <c r="I35" s="29"/>
      <c r="J35" s="61"/>
      <c r="K35" s="61"/>
      <c r="L35" s="61"/>
      <c r="M35" s="61"/>
      <c r="N35" s="61"/>
      <c r="O35" s="6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s="103" customFormat="1" hidden="1" outlineLevel="1">
      <c r="A36" s="39"/>
      <c r="B36" s="29"/>
      <c r="C36" s="29"/>
      <c r="D36" s="29"/>
      <c r="E36" s="29"/>
      <c r="F36" s="29">
        <v>16</v>
      </c>
      <c r="G36" s="29"/>
      <c r="H36" s="33"/>
      <c r="I36" s="29"/>
      <c r="J36" s="61"/>
      <c r="K36" s="61"/>
      <c r="L36" s="61"/>
      <c r="M36" s="61"/>
      <c r="N36" s="61"/>
      <c r="O36" s="6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s="103" customFormat="1" hidden="1" outlineLevel="1">
      <c r="A37" s="39"/>
      <c r="B37" s="29"/>
      <c r="C37" s="29"/>
      <c r="D37" s="29"/>
      <c r="E37" s="29"/>
      <c r="F37" s="29">
        <v>17</v>
      </c>
      <c r="G37" s="29"/>
      <c r="H37" s="33"/>
      <c r="I37" s="29"/>
      <c r="J37" s="61"/>
      <c r="K37" s="61"/>
      <c r="L37" s="61"/>
      <c r="M37" s="61"/>
      <c r="N37" s="61"/>
      <c r="O37" s="6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s="103" customFormat="1" hidden="1" outlineLevel="1">
      <c r="A38" s="39"/>
      <c r="B38" s="29"/>
      <c r="C38" s="29"/>
      <c r="D38" s="29"/>
      <c r="E38" s="29"/>
      <c r="F38" s="29">
        <v>18</v>
      </c>
      <c r="G38" s="29"/>
      <c r="H38" s="33"/>
      <c r="I38" s="29"/>
      <c r="J38" s="61"/>
      <c r="K38" s="61"/>
      <c r="L38" s="61"/>
      <c r="M38" s="61"/>
      <c r="N38" s="61"/>
      <c r="O38" s="6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s="103" customFormat="1" hidden="1" outlineLevel="1">
      <c r="A39" s="39"/>
      <c r="B39" s="29"/>
      <c r="C39" s="29"/>
      <c r="D39" s="29"/>
      <c r="E39" s="29"/>
      <c r="F39" s="29">
        <v>19</v>
      </c>
      <c r="G39" s="29"/>
      <c r="H39" s="33"/>
      <c r="I39" s="29"/>
      <c r="J39" s="61"/>
      <c r="K39" s="61"/>
      <c r="L39" s="61"/>
      <c r="M39" s="61"/>
      <c r="N39" s="61"/>
      <c r="O39" s="6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s="103" customFormat="1" hidden="1" outlineLevel="1">
      <c r="A40" s="39"/>
      <c r="B40" s="29"/>
      <c r="C40" s="29"/>
      <c r="D40" s="29"/>
      <c r="E40" s="29"/>
      <c r="F40" s="29">
        <v>20</v>
      </c>
      <c r="G40" s="29"/>
      <c r="H40" s="33"/>
      <c r="I40" s="29"/>
      <c r="J40" s="61"/>
      <c r="K40" s="61"/>
      <c r="L40" s="61"/>
      <c r="M40" s="61"/>
      <c r="N40" s="61"/>
      <c r="O40" s="6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collapsed="1">
      <c r="B41" s="6"/>
      <c r="C41" s="6" t="s">
        <v>80</v>
      </c>
      <c r="D41" s="6"/>
      <c r="E41" s="6"/>
      <c r="F41" s="6"/>
      <c r="G41" s="6"/>
      <c r="H41" s="33" t="s">
        <v>4</v>
      </c>
      <c r="I41" s="6"/>
      <c r="J41" s="61"/>
      <c r="K41" s="76"/>
      <c r="L41" s="76">
        <f>MAX(L21+L22+L23,0)</f>
        <v>720000</v>
      </c>
      <c r="M41" s="76">
        <f t="shared" ref="M41:AO41" si="24">MAX(M21+M22+M23,0)</f>
        <v>960000</v>
      </c>
      <c r="N41" s="76">
        <f t="shared" si="24"/>
        <v>1110000</v>
      </c>
      <c r="O41" s="76">
        <f t="shared" si="24"/>
        <v>1110000</v>
      </c>
      <c r="P41" s="76">
        <f t="shared" si="24"/>
        <v>1053784.2375549173</v>
      </c>
      <c r="Q41" s="76">
        <f t="shared" si="24"/>
        <v>974946.68065124401</v>
      </c>
      <c r="R41" s="76">
        <f t="shared" si="24"/>
        <v>878978.91848774487</v>
      </c>
      <c r="S41" s="76">
        <f t="shared" si="24"/>
        <v>780132.12345934077</v>
      </c>
      <c r="T41" s="76">
        <f t="shared" si="24"/>
        <v>678319.92458008463</v>
      </c>
      <c r="U41" s="76">
        <f t="shared" si="24"/>
        <v>573453.3597344507</v>
      </c>
      <c r="V41" s="76">
        <f t="shared" si="24"/>
        <v>465440.79794344783</v>
      </c>
      <c r="W41" s="76">
        <f t="shared" si="24"/>
        <v>354187.85929871484</v>
      </c>
      <c r="X41" s="76">
        <f t="shared" si="24"/>
        <v>239597.33249463988</v>
      </c>
      <c r="Y41" s="76">
        <f t="shared" si="24"/>
        <v>121569.08988644266</v>
      </c>
      <c r="Z41" s="76">
        <f t="shared" si="24"/>
        <v>0</v>
      </c>
      <c r="AA41" s="76">
        <f t="shared" si="24"/>
        <v>0</v>
      </c>
      <c r="AB41" s="76">
        <f t="shared" si="24"/>
        <v>0</v>
      </c>
      <c r="AC41" s="76">
        <f t="shared" si="24"/>
        <v>0</v>
      </c>
      <c r="AD41" s="76">
        <f t="shared" si="24"/>
        <v>0</v>
      </c>
      <c r="AE41" s="76">
        <f t="shared" si="24"/>
        <v>0</v>
      </c>
      <c r="AF41" s="76">
        <f t="shared" si="24"/>
        <v>0</v>
      </c>
      <c r="AG41" s="76">
        <f t="shared" si="24"/>
        <v>0</v>
      </c>
      <c r="AH41" s="76">
        <f t="shared" si="24"/>
        <v>0</v>
      </c>
      <c r="AI41" s="76">
        <f t="shared" si="24"/>
        <v>0</v>
      </c>
      <c r="AJ41" s="76">
        <f t="shared" si="24"/>
        <v>0</v>
      </c>
      <c r="AK41" s="76">
        <f t="shared" si="24"/>
        <v>0</v>
      </c>
      <c r="AL41" s="76">
        <f t="shared" si="24"/>
        <v>0</v>
      </c>
      <c r="AM41" s="76">
        <f t="shared" si="24"/>
        <v>0</v>
      </c>
      <c r="AN41" s="76">
        <f t="shared" si="24"/>
        <v>0</v>
      </c>
      <c r="AO41" s="76">
        <f t="shared" si="24"/>
        <v>0</v>
      </c>
    </row>
    <row r="42" spans="1:41" ht="5.0999999999999996" customHeight="1" thickBot="1">
      <c r="B42" s="6"/>
      <c r="C42" s="6"/>
      <c r="D42" s="6"/>
      <c r="E42" s="6"/>
      <c r="F42" s="6"/>
      <c r="G42" s="6"/>
      <c r="H42" s="1"/>
      <c r="I42" s="6"/>
      <c r="J42" s="61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</row>
    <row r="43" spans="1:41" ht="13.5" thickBot="1">
      <c r="B43" s="6"/>
      <c r="C43" s="6" t="s">
        <v>81</v>
      </c>
      <c r="D43" s="6"/>
      <c r="E43" s="169">
        <v>15</v>
      </c>
      <c r="F43" s="88">
        <v>0.03</v>
      </c>
      <c r="G43" s="6"/>
      <c r="H43" s="33" t="s">
        <v>4</v>
      </c>
      <c r="I43" s="29"/>
      <c r="J43" s="61">
        <f>SUM(L43:AO43)</f>
        <v>-300612.40000000002</v>
      </c>
      <c r="K43" s="76"/>
      <c r="L43" s="76">
        <f>ROUND(-AVERAGE(L21,L41)*$F43,1)</f>
        <v>-10800</v>
      </c>
      <c r="M43" s="76">
        <f t="shared" ref="M43:AO43" si="25">ROUND(-AVERAGE(M21,M41)*$F43,1)</f>
        <v>-25200</v>
      </c>
      <c r="N43" s="76">
        <f t="shared" si="25"/>
        <v>-31050</v>
      </c>
      <c r="O43" s="76">
        <f t="shared" si="25"/>
        <v>-33300</v>
      </c>
      <c r="P43" s="76">
        <f t="shared" si="25"/>
        <v>-32456.799999999999</v>
      </c>
      <c r="Q43" s="76">
        <f t="shared" si="25"/>
        <v>-30431</v>
      </c>
      <c r="R43" s="76">
        <f t="shared" si="25"/>
        <v>-27808.9</v>
      </c>
      <c r="S43" s="76">
        <f t="shared" si="25"/>
        <v>-24886.7</v>
      </c>
      <c r="T43" s="76">
        <f t="shared" si="25"/>
        <v>-21876.799999999999</v>
      </c>
      <c r="U43" s="76">
        <f t="shared" si="25"/>
        <v>-18776.599999999999</v>
      </c>
      <c r="V43" s="76">
        <f t="shared" si="25"/>
        <v>-15583.4</v>
      </c>
      <c r="W43" s="76">
        <f t="shared" si="25"/>
        <v>-12294.4</v>
      </c>
      <c r="X43" s="76">
        <f t="shared" si="25"/>
        <v>-8906.7999999999993</v>
      </c>
      <c r="Y43" s="76">
        <f t="shared" si="25"/>
        <v>-5417.5</v>
      </c>
      <c r="Z43" s="76">
        <f t="shared" si="25"/>
        <v>-1823.5</v>
      </c>
      <c r="AA43" s="76">
        <f t="shared" si="25"/>
        <v>0</v>
      </c>
      <c r="AB43" s="76">
        <f t="shared" si="25"/>
        <v>0</v>
      </c>
      <c r="AC43" s="76">
        <f t="shared" si="25"/>
        <v>0</v>
      </c>
      <c r="AD43" s="76">
        <f t="shared" si="25"/>
        <v>0</v>
      </c>
      <c r="AE43" s="76">
        <f t="shared" si="25"/>
        <v>0</v>
      </c>
      <c r="AF43" s="76">
        <f t="shared" si="25"/>
        <v>0</v>
      </c>
      <c r="AG43" s="76">
        <f t="shared" si="25"/>
        <v>0</v>
      </c>
      <c r="AH43" s="76">
        <f t="shared" si="25"/>
        <v>0</v>
      </c>
      <c r="AI43" s="76">
        <f t="shared" si="25"/>
        <v>0</v>
      </c>
      <c r="AJ43" s="76">
        <f t="shared" si="25"/>
        <v>0</v>
      </c>
      <c r="AK43" s="76">
        <f t="shared" si="25"/>
        <v>0</v>
      </c>
      <c r="AL43" s="76">
        <f t="shared" si="25"/>
        <v>0</v>
      </c>
      <c r="AM43" s="76">
        <f t="shared" si="25"/>
        <v>0</v>
      </c>
      <c r="AN43" s="76">
        <f t="shared" si="25"/>
        <v>0</v>
      </c>
      <c r="AO43" s="76">
        <f t="shared" si="25"/>
        <v>0</v>
      </c>
    </row>
    <row r="44" spans="1:41" ht="5.0999999999999996" customHeight="1">
      <c r="F44" s="38"/>
      <c r="H44" s="167"/>
      <c r="I44" s="39"/>
      <c r="J44" s="73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</row>
    <row r="45" spans="1:41">
      <c r="B45" s="6" t="s">
        <v>82</v>
      </c>
      <c r="C45" s="6"/>
      <c r="D45" s="6"/>
      <c r="E45" s="6"/>
      <c r="F45" s="6"/>
      <c r="G45" s="6"/>
      <c r="H45" s="1"/>
      <c r="I45" s="6"/>
      <c r="J45" s="61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</row>
    <row r="46" spans="1:41">
      <c r="B46" s="6"/>
      <c r="C46" s="6" t="s">
        <v>77</v>
      </c>
      <c r="D46" s="6"/>
      <c r="E46" s="6"/>
      <c r="F46" s="6"/>
      <c r="G46" s="6"/>
      <c r="H46" s="33" t="s">
        <v>4</v>
      </c>
      <c r="I46" s="6"/>
      <c r="J46" s="61"/>
      <c r="K46" s="76"/>
      <c r="L46" s="74"/>
      <c r="M46" s="76">
        <f>L49</f>
        <v>120000</v>
      </c>
      <c r="N46" s="76">
        <f t="shared" ref="N46:AJ46" si="26">M49</f>
        <v>123000</v>
      </c>
      <c r="O46" s="76">
        <f t="shared" si="26"/>
        <v>111000</v>
      </c>
      <c r="P46" s="76">
        <f t="shared" si="26"/>
        <v>74000</v>
      </c>
      <c r="Q46" s="76">
        <f t="shared" si="26"/>
        <v>37000</v>
      </c>
      <c r="R46" s="76">
        <f t="shared" si="26"/>
        <v>0</v>
      </c>
      <c r="S46" s="76">
        <f t="shared" si="26"/>
        <v>0</v>
      </c>
      <c r="T46" s="76">
        <f t="shared" si="26"/>
        <v>0</v>
      </c>
      <c r="U46" s="76">
        <f t="shared" si="26"/>
        <v>0</v>
      </c>
      <c r="V46" s="76">
        <f t="shared" si="26"/>
        <v>0</v>
      </c>
      <c r="W46" s="76">
        <f t="shared" si="26"/>
        <v>0</v>
      </c>
      <c r="X46" s="76">
        <f t="shared" si="26"/>
        <v>0</v>
      </c>
      <c r="Y46" s="76">
        <f t="shared" si="26"/>
        <v>0</v>
      </c>
      <c r="Z46" s="76">
        <f t="shared" si="26"/>
        <v>0</v>
      </c>
      <c r="AA46" s="76">
        <f t="shared" si="26"/>
        <v>0</v>
      </c>
      <c r="AB46" s="76">
        <f t="shared" si="26"/>
        <v>0</v>
      </c>
      <c r="AC46" s="76">
        <f t="shared" si="26"/>
        <v>0</v>
      </c>
      <c r="AD46" s="76">
        <f t="shared" si="26"/>
        <v>0</v>
      </c>
      <c r="AE46" s="76">
        <f t="shared" si="26"/>
        <v>0</v>
      </c>
      <c r="AF46" s="76">
        <f t="shared" si="26"/>
        <v>0</v>
      </c>
      <c r="AG46" s="76">
        <f t="shared" si="26"/>
        <v>0</v>
      </c>
      <c r="AH46" s="76">
        <f t="shared" si="26"/>
        <v>0</v>
      </c>
      <c r="AI46" s="76">
        <f t="shared" si="26"/>
        <v>0</v>
      </c>
      <c r="AJ46" s="76">
        <f t="shared" si="26"/>
        <v>0</v>
      </c>
      <c r="AK46" s="76">
        <f t="shared" ref="AK46" si="27">AJ49</f>
        <v>0</v>
      </c>
      <c r="AL46" s="76">
        <f t="shared" ref="AL46" si="28">AK49</f>
        <v>0</v>
      </c>
      <c r="AM46" s="76">
        <f t="shared" ref="AM46" si="29">AL49</f>
        <v>0</v>
      </c>
      <c r="AN46" s="76">
        <f t="shared" ref="AN46:AO46" si="30">AM49</f>
        <v>0</v>
      </c>
      <c r="AO46" s="76">
        <f t="shared" si="30"/>
        <v>0</v>
      </c>
    </row>
    <row r="47" spans="1:41">
      <c r="B47" s="6"/>
      <c r="C47" s="6"/>
      <c r="D47" s="6" t="s">
        <v>78</v>
      </c>
      <c r="E47" s="6"/>
      <c r="F47" s="6"/>
      <c r="G47" s="6"/>
      <c r="H47" s="33" t="s">
        <v>4</v>
      </c>
      <c r="I47" s="29"/>
      <c r="J47" s="61">
        <f>SUM(L47:AO47)</f>
        <v>185000</v>
      </c>
      <c r="K47" s="76"/>
      <c r="L47" s="74">
        <f>L6</f>
        <v>120000</v>
      </c>
      <c r="M47" s="74">
        <f t="shared" ref="M47:AJ47" si="31">M6</f>
        <v>40000</v>
      </c>
      <c r="N47" s="74">
        <f t="shared" si="31"/>
        <v>25000</v>
      </c>
      <c r="O47" s="76">
        <f t="shared" si="31"/>
        <v>0</v>
      </c>
      <c r="P47" s="76">
        <f t="shared" si="31"/>
        <v>0</v>
      </c>
      <c r="Q47" s="76">
        <f t="shared" si="31"/>
        <v>0</v>
      </c>
      <c r="R47" s="76">
        <f t="shared" si="31"/>
        <v>0</v>
      </c>
      <c r="S47" s="76">
        <f t="shared" si="31"/>
        <v>0</v>
      </c>
      <c r="T47" s="76">
        <f t="shared" si="31"/>
        <v>0</v>
      </c>
      <c r="U47" s="76">
        <f t="shared" si="31"/>
        <v>0</v>
      </c>
      <c r="V47" s="76">
        <f t="shared" si="31"/>
        <v>0</v>
      </c>
      <c r="W47" s="76">
        <f t="shared" si="31"/>
        <v>0</v>
      </c>
      <c r="X47" s="76">
        <f t="shared" si="31"/>
        <v>0</v>
      </c>
      <c r="Y47" s="76">
        <f t="shared" si="31"/>
        <v>0</v>
      </c>
      <c r="Z47" s="76">
        <f t="shared" si="31"/>
        <v>0</v>
      </c>
      <c r="AA47" s="76">
        <f t="shared" si="31"/>
        <v>0</v>
      </c>
      <c r="AB47" s="76">
        <f t="shared" si="31"/>
        <v>0</v>
      </c>
      <c r="AC47" s="76">
        <f t="shared" si="31"/>
        <v>0</v>
      </c>
      <c r="AD47" s="76">
        <f t="shared" si="31"/>
        <v>0</v>
      </c>
      <c r="AE47" s="76">
        <f t="shared" si="31"/>
        <v>0</v>
      </c>
      <c r="AF47" s="76">
        <f t="shared" si="31"/>
        <v>0</v>
      </c>
      <c r="AG47" s="76">
        <f t="shared" si="31"/>
        <v>0</v>
      </c>
      <c r="AH47" s="76">
        <f t="shared" si="31"/>
        <v>0</v>
      </c>
      <c r="AI47" s="76">
        <f t="shared" si="31"/>
        <v>0</v>
      </c>
      <c r="AJ47" s="76">
        <f t="shared" si="31"/>
        <v>0</v>
      </c>
      <c r="AK47" s="76">
        <f t="shared" ref="AK47:AN47" si="32">AK6</f>
        <v>0</v>
      </c>
      <c r="AL47" s="76">
        <f t="shared" si="32"/>
        <v>0</v>
      </c>
      <c r="AM47" s="76">
        <f t="shared" si="32"/>
        <v>0</v>
      </c>
      <c r="AN47" s="76">
        <f t="shared" si="32"/>
        <v>0</v>
      </c>
      <c r="AO47" s="76">
        <f t="shared" ref="AO47" si="33">AO6</f>
        <v>0</v>
      </c>
    </row>
    <row r="48" spans="1:41">
      <c r="B48" s="29"/>
      <c r="C48" s="29"/>
      <c r="D48" s="29" t="s">
        <v>89</v>
      </c>
      <c r="E48" s="29"/>
      <c r="F48" s="29"/>
      <c r="G48" s="29"/>
      <c r="H48" s="33" t="s">
        <v>4</v>
      </c>
      <c r="I48" s="29"/>
      <c r="J48" s="61">
        <f>SUM(L48:AO48)</f>
        <v>-185000</v>
      </c>
      <c r="K48" s="76"/>
      <c r="L48" s="73"/>
      <c r="M48" s="39">
        <f>-MIN(($J$47+$L$46)/$E$51,M46)</f>
        <v>-37000</v>
      </c>
      <c r="N48" s="39">
        <f t="shared" ref="N48:AO48" si="34">-MIN(($J$47+$L$46)/$E$51,N46)</f>
        <v>-37000</v>
      </c>
      <c r="O48" s="39">
        <f t="shared" si="34"/>
        <v>-37000</v>
      </c>
      <c r="P48" s="39">
        <f t="shared" si="34"/>
        <v>-37000</v>
      </c>
      <c r="Q48" s="39">
        <f t="shared" si="34"/>
        <v>-37000</v>
      </c>
      <c r="R48" s="39">
        <f t="shared" si="34"/>
        <v>0</v>
      </c>
      <c r="S48" s="39">
        <f t="shared" si="34"/>
        <v>0</v>
      </c>
      <c r="T48" s="39">
        <f t="shared" si="34"/>
        <v>0</v>
      </c>
      <c r="U48" s="39">
        <f t="shared" si="34"/>
        <v>0</v>
      </c>
      <c r="V48" s="39">
        <f t="shared" si="34"/>
        <v>0</v>
      </c>
      <c r="W48" s="39">
        <f t="shared" si="34"/>
        <v>0</v>
      </c>
      <c r="X48" s="39">
        <f t="shared" si="34"/>
        <v>0</v>
      </c>
      <c r="Y48" s="39">
        <f t="shared" si="34"/>
        <v>0</v>
      </c>
      <c r="Z48" s="39">
        <f t="shared" si="34"/>
        <v>0</v>
      </c>
      <c r="AA48" s="39">
        <f t="shared" si="34"/>
        <v>0</v>
      </c>
      <c r="AB48" s="39">
        <f t="shared" si="34"/>
        <v>0</v>
      </c>
      <c r="AC48" s="39">
        <f t="shared" si="34"/>
        <v>0</v>
      </c>
      <c r="AD48" s="39">
        <f t="shared" si="34"/>
        <v>0</v>
      </c>
      <c r="AE48" s="39">
        <f t="shared" si="34"/>
        <v>0</v>
      </c>
      <c r="AF48" s="39">
        <f t="shared" si="34"/>
        <v>0</v>
      </c>
      <c r="AG48" s="39">
        <f t="shared" si="34"/>
        <v>0</v>
      </c>
      <c r="AH48" s="39">
        <f t="shared" si="34"/>
        <v>0</v>
      </c>
      <c r="AI48" s="39">
        <f t="shared" si="34"/>
        <v>0</v>
      </c>
      <c r="AJ48" s="39">
        <f t="shared" si="34"/>
        <v>0</v>
      </c>
      <c r="AK48" s="39">
        <f t="shared" si="34"/>
        <v>0</v>
      </c>
      <c r="AL48" s="39">
        <f t="shared" si="34"/>
        <v>0</v>
      </c>
      <c r="AM48" s="39">
        <f t="shared" si="34"/>
        <v>0</v>
      </c>
      <c r="AN48" s="39">
        <f t="shared" si="34"/>
        <v>0</v>
      </c>
      <c r="AO48" s="39">
        <f t="shared" si="34"/>
        <v>0</v>
      </c>
    </row>
    <row r="49" spans="2:41">
      <c r="B49" s="6"/>
      <c r="C49" s="6" t="s">
        <v>80</v>
      </c>
      <c r="D49" s="6"/>
      <c r="E49" s="6"/>
      <c r="F49" s="6"/>
      <c r="G49" s="6"/>
      <c r="H49" s="33" t="s">
        <v>4</v>
      </c>
      <c r="I49" s="6"/>
      <c r="J49" s="61"/>
      <c r="K49" s="76"/>
      <c r="L49" s="76">
        <f>MAX(L46+L47+L48,0)</f>
        <v>120000</v>
      </c>
      <c r="M49" s="76">
        <f t="shared" ref="M49:AO49" si="35">MAX(M46+M47+M48,0)</f>
        <v>123000</v>
      </c>
      <c r="N49" s="76">
        <f t="shared" si="35"/>
        <v>111000</v>
      </c>
      <c r="O49" s="76">
        <f t="shared" si="35"/>
        <v>74000</v>
      </c>
      <c r="P49" s="76">
        <f t="shared" si="35"/>
        <v>37000</v>
      </c>
      <c r="Q49" s="76">
        <f t="shared" si="35"/>
        <v>0</v>
      </c>
      <c r="R49" s="76">
        <f t="shared" si="35"/>
        <v>0</v>
      </c>
      <c r="S49" s="76">
        <f t="shared" si="35"/>
        <v>0</v>
      </c>
      <c r="T49" s="76">
        <f t="shared" si="35"/>
        <v>0</v>
      </c>
      <c r="U49" s="76">
        <f t="shared" si="35"/>
        <v>0</v>
      </c>
      <c r="V49" s="76">
        <f t="shared" si="35"/>
        <v>0</v>
      </c>
      <c r="W49" s="76">
        <f t="shared" si="35"/>
        <v>0</v>
      </c>
      <c r="X49" s="76">
        <f t="shared" si="35"/>
        <v>0</v>
      </c>
      <c r="Y49" s="76">
        <f t="shared" si="35"/>
        <v>0</v>
      </c>
      <c r="Z49" s="76">
        <f t="shared" si="35"/>
        <v>0</v>
      </c>
      <c r="AA49" s="76">
        <f t="shared" si="35"/>
        <v>0</v>
      </c>
      <c r="AB49" s="76">
        <f t="shared" si="35"/>
        <v>0</v>
      </c>
      <c r="AC49" s="76">
        <f t="shared" si="35"/>
        <v>0</v>
      </c>
      <c r="AD49" s="76">
        <f t="shared" si="35"/>
        <v>0</v>
      </c>
      <c r="AE49" s="76">
        <f t="shared" si="35"/>
        <v>0</v>
      </c>
      <c r="AF49" s="76">
        <f t="shared" si="35"/>
        <v>0</v>
      </c>
      <c r="AG49" s="76">
        <f t="shared" si="35"/>
        <v>0</v>
      </c>
      <c r="AH49" s="76">
        <f t="shared" si="35"/>
        <v>0</v>
      </c>
      <c r="AI49" s="76">
        <f t="shared" si="35"/>
        <v>0</v>
      </c>
      <c r="AJ49" s="76">
        <f t="shared" si="35"/>
        <v>0</v>
      </c>
      <c r="AK49" s="76">
        <f t="shared" si="35"/>
        <v>0</v>
      </c>
      <c r="AL49" s="76">
        <f t="shared" si="35"/>
        <v>0</v>
      </c>
      <c r="AM49" s="76">
        <f t="shared" si="35"/>
        <v>0</v>
      </c>
      <c r="AN49" s="76">
        <f t="shared" si="35"/>
        <v>0</v>
      </c>
      <c r="AO49" s="76">
        <f t="shared" si="35"/>
        <v>0</v>
      </c>
    </row>
    <row r="50" spans="2:41" ht="5.0999999999999996" customHeight="1" thickBot="1">
      <c r="B50" s="6"/>
      <c r="C50" s="6"/>
      <c r="D50" s="6"/>
      <c r="E50" s="6"/>
      <c r="F50" s="6"/>
      <c r="G50" s="6"/>
      <c r="H50" s="1"/>
      <c r="I50" s="6"/>
      <c r="J50" s="61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</row>
    <row r="51" spans="2:41" ht="13.5" thickBot="1">
      <c r="B51" s="6"/>
      <c r="C51" s="6" t="s">
        <v>81</v>
      </c>
      <c r="D51" s="6"/>
      <c r="E51" s="170">
        <v>5</v>
      </c>
      <c r="F51" s="171">
        <v>8.5000000000000006E-2</v>
      </c>
      <c r="G51" s="6"/>
      <c r="H51" s="33" t="s">
        <v>4</v>
      </c>
      <c r="I51" s="29"/>
      <c r="J51" s="61">
        <f>SUM(L51:AO51)</f>
        <v>-44625</v>
      </c>
      <c r="K51" s="76"/>
      <c r="L51" s="61">
        <f>ROUND(-AVERAGE(L46,L49)*$F51,1)</f>
        <v>-10200</v>
      </c>
      <c r="M51" s="61">
        <f t="shared" ref="M51:AO51" si="36">ROUND(-AVERAGE(M46,M49)*$F51,1)</f>
        <v>-10327.5</v>
      </c>
      <c r="N51" s="61">
        <f t="shared" si="36"/>
        <v>-9945</v>
      </c>
      <c r="O51" s="61">
        <f t="shared" si="36"/>
        <v>-7862.5</v>
      </c>
      <c r="P51" s="61">
        <f t="shared" si="36"/>
        <v>-4717.5</v>
      </c>
      <c r="Q51" s="61">
        <f t="shared" si="36"/>
        <v>-1572.5</v>
      </c>
      <c r="R51" s="61">
        <f t="shared" si="36"/>
        <v>0</v>
      </c>
      <c r="S51" s="61">
        <f t="shared" si="36"/>
        <v>0</v>
      </c>
      <c r="T51" s="61">
        <f t="shared" si="36"/>
        <v>0</v>
      </c>
      <c r="U51" s="61">
        <f t="shared" si="36"/>
        <v>0</v>
      </c>
      <c r="V51" s="61">
        <f t="shared" si="36"/>
        <v>0</v>
      </c>
      <c r="W51" s="61">
        <f t="shared" si="36"/>
        <v>0</v>
      </c>
      <c r="X51" s="61">
        <f t="shared" si="36"/>
        <v>0</v>
      </c>
      <c r="Y51" s="61">
        <f t="shared" si="36"/>
        <v>0</v>
      </c>
      <c r="Z51" s="61">
        <f t="shared" si="36"/>
        <v>0</v>
      </c>
      <c r="AA51" s="61">
        <f t="shared" si="36"/>
        <v>0</v>
      </c>
      <c r="AB51" s="61">
        <f t="shared" si="36"/>
        <v>0</v>
      </c>
      <c r="AC51" s="61">
        <f t="shared" si="36"/>
        <v>0</v>
      </c>
      <c r="AD51" s="61">
        <f t="shared" si="36"/>
        <v>0</v>
      </c>
      <c r="AE51" s="61">
        <f t="shared" si="36"/>
        <v>0</v>
      </c>
      <c r="AF51" s="61">
        <f t="shared" si="36"/>
        <v>0</v>
      </c>
      <c r="AG51" s="61">
        <f t="shared" si="36"/>
        <v>0</v>
      </c>
      <c r="AH51" s="61">
        <f t="shared" si="36"/>
        <v>0</v>
      </c>
      <c r="AI51" s="61">
        <f t="shared" si="36"/>
        <v>0</v>
      </c>
      <c r="AJ51" s="61">
        <f t="shared" si="36"/>
        <v>0</v>
      </c>
      <c r="AK51" s="61">
        <f t="shared" si="36"/>
        <v>0</v>
      </c>
      <c r="AL51" s="61">
        <f t="shared" si="36"/>
        <v>0</v>
      </c>
      <c r="AM51" s="61">
        <f t="shared" si="36"/>
        <v>0</v>
      </c>
      <c r="AN51" s="61">
        <f t="shared" si="36"/>
        <v>0</v>
      </c>
      <c r="AO51" s="61">
        <f t="shared" si="36"/>
        <v>0</v>
      </c>
    </row>
    <row r="52" spans="2:41" ht="5.0999999999999996" customHeight="1">
      <c r="J52" s="73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</row>
    <row r="53" spans="2:41">
      <c r="B53" s="6" t="s">
        <v>83</v>
      </c>
      <c r="C53" s="6"/>
      <c r="D53" s="6"/>
      <c r="E53" s="6"/>
      <c r="F53" s="6"/>
      <c r="G53" s="6"/>
      <c r="H53" s="1"/>
      <c r="I53" s="6"/>
      <c r="J53" s="61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</row>
    <row r="54" spans="2:41">
      <c r="B54" s="6"/>
      <c r="C54" s="6" t="s">
        <v>77</v>
      </c>
      <c r="D54" s="6"/>
      <c r="E54" s="6"/>
      <c r="F54" s="6"/>
      <c r="G54" s="6"/>
      <c r="H54" s="33" t="s">
        <v>4</v>
      </c>
      <c r="I54" s="6"/>
      <c r="J54" s="61"/>
      <c r="K54" s="76"/>
      <c r="L54" s="74"/>
      <c r="M54" s="76">
        <f>L57</f>
        <v>0</v>
      </c>
      <c r="N54" s="76">
        <f t="shared" ref="N54" si="37">M57</f>
        <v>0</v>
      </c>
      <c r="O54" s="76">
        <f t="shared" ref="O54" si="38">N57</f>
        <v>0</v>
      </c>
      <c r="P54" s="76">
        <f t="shared" ref="P54" si="39">O57</f>
        <v>0</v>
      </c>
      <c r="Q54" s="76">
        <f t="shared" ref="Q54" si="40">P57</f>
        <v>0</v>
      </c>
      <c r="R54" s="76">
        <f t="shared" ref="R54" si="41">Q57</f>
        <v>0</v>
      </c>
      <c r="S54" s="76">
        <f t="shared" ref="S54" si="42">R57</f>
        <v>0</v>
      </c>
      <c r="T54" s="76">
        <f t="shared" ref="T54" si="43">S57</f>
        <v>0</v>
      </c>
      <c r="U54" s="76">
        <f t="shared" ref="U54" si="44">T57</f>
        <v>0</v>
      </c>
      <c r="V54" s="76">
        <f t="shared" ref="V54" si="45">U57</f>
        <v>0</v>
      </c>
      <c r="W54" s="76">
        <f t="shared" ref="W54" si="46">V57</f>
        <v>0</v>
      </c>
      <c r="X54" s="76">
        <f t="shared" ref="X54" si="47">W57</f>
        <v>0</v>
      </c>
      <c r="Y54" s="76">
        <f t="shared" ref="Y54" si="48">X57</f>
        <v>0</v>
      </c>
      <c r="Z54" s="76">
        <f t="shared" ref="Z54" si="49">Y57</f>
        <v>0</v>
      </c>
      <c r="AA54" s="76">
        <f t="shared" ref="AA54" si="50">Z57</f>
        <v>0</v>
      </c>
      <c r="AB54" s="76">
        <f t="shared" ref="AB54" si="51">AA57</f>
        <v>0</v>
      </c>
      <c r="AC54" s="76">
        <f t="shared" ref="AC54" si="52">AB57</f>
        <v>0</v>
      </c>
      <c r="AD54" s="76">
        <f t="shared" ref="AD54" si="53">AC57</f>
        <v>0</v>
      </c>
      <c r="AE54" s="76">
        <f t="shared" ref="AE54" si="54">AD57</f>
        <v>0</v>
      </c>
      <c r="AF54" s="76">
        <f t="shared" ref="AF54" si="55">AE57</f>
        <v>0</v>
      </c>
      <c r="AG54" s="76">
        <f t="shared" ref="AG54" si="56">AF57</f>
        <v>0</v>
      </c>
      <c r="AH54" s="76">
        <f t="shared" ref="AH54" si="57">AG57</f>
        <v>0</v>
      </c>
      <c r="AI54" s="76">
        <f t="shared" ref="AI54" si="58">AH57</f>
        <v>0</v>
      </c>
      <c r="AJ54" s="76">
        <f t="shared" ref="AJ54" si="59">AI57</f>
        <v>0</v>
      </c>
      <c r="AK54" s="76">
        <f t="shared" ref="AK54" si="60">AJ57</f>
        <v>0</v>
      </c>
      <c r="AL54" s="76">
        <f t="shared" ref="AL54" si="61">AK57</f>
        <v>0</v>
      </c>
      <c r="AM54" s="76">
        <f t="shared" ref="AM54" si="62">AL57</f>
        <v>0</v>
      </c>
      <c r="AN54" s="76">
        <f t="shared" ref="AN54:AO54" si="63">AM57</f>
        <v>0</v>
      </c>
      <c r="AO54" s="76">
        <f t="shared" si="63"/>
        <v>0</v>
      </c>
    </row>
    <row r="55" spans="2:41">
      <c r="B55" s="6"/>
      <c r="C55" s="6"/>
      <c r="D55" s="6" t="s">
        <v>78</v>
      </c>
      <c r="E55" s="6"/>
      <c r="F55" s="6"/>
      <c r="G55" s="6"/>
      <c r="H55" s="33" t="s">
        <v>4</v>
      </c>
      <c r="I55" s="29"/>
      <c r="J55" s="61">
        <f>SUM(L55:AO55)</f>
        <v>0</v>
      </c>
      <c r="K55" s="76"/>
      <c r="L55" s="74"/>
      <c r="M55" s="74"/>
      <c r="N55" s="74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</row>
    <row r="56" spans="2:41">
      <c r="B56" s="29"/>
      <c r="C56" s="29"/>
      <c r="D56" s="29" t="s">
        <v>89</v>
      </c>
      <c r="E56" s="29"/>
      <c r="F56" s="29"/>
      <c r="G56" s="29"/>
      <c r="H56" s="33" t="s">
        <v>4</v>
      </c>
      <c r="I56" s="29"/>
      <c r="J56" s="61">
        <f>SUM(L56:AO56)</f>
        <v>0</v>
      </c>
      <c r="K56" s="76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</row>
    <row r="57" spans="2:41">
      <c r="B57" s="6"/>
      <c r="C57" s="6" t="s">
        <v>80</v>
      </c>
      <c r="D57" s="6"/>
      <c r="E57" s="6"/>
      <c r="F57" s="6"/>
      <c r="G57" s="6"/>
      <c r="H57" s="33" t="s">
        <v>4</v>
      </c>
      <c r="I57" s="6"/>
      <c r="J57" s="61"/>
      <c r="K57" s="76"/>
      <c r="L57" s="76">
        <f t="shared" ref="L57:AO57" si="64">MAX(L54+L55+L56,0)</f>
        <v>0</v>
      </c>
      <c r="M57" s="76">
        <f t="shared" si="64"/>
        <v>0</v>
      </c>
      <c r="N57" s="76">
        <f t="shared" si="64"/>
        <v>0</v>
      </c>
      <c r="O57" s="76">
        <f t="shared" si="64"/>
        <v>0</v>
      </c>
      <c r="P57" s="76">
        <f t="shared" si="64"/>
        <v>0</v>
      </c>
      <c r="Q57" s="76">
        <f t="shared" si="64"/>
        <v>0</v>
      </c>
      <c r="R57" s="76">
        <f t="shared" si="64"/>
        <v>0</v>
      </c>
      <c r="S57" s="76">
        <f t="shared" si="64"/>
        <v>0</v>
      </c>
      <c r="T57" s="76">
        <f t="shared" si="64"/>
        <v>0</v>
      </c>
      <c r="U57" s="76">
        <f t="shared" si="64"/>
        <v>0</v>
      </c>
      <c r="V57" s="76">
        <f t="shared" si="64"/>
        <v>0</v>
      </c>
      <c r="W57" s="76">
        <f t="shared" si="64"/>
        <v>0</v>
      </c>
      <c r="X57" s="76">
        <f t="shared" si="64"/>
        <v>0</v>
      </c>
      <c r="Y57" s="76">
        <f t="shared" si="64"/>
        <v>0</v>
      </c>
      <c r="Z57" s="76">
        <f t="shared" si="64"/>
        <v>0</v>
      </c>
      <c r="AA57" s="76">
        <f t="shared" si="64"/>
        <v>0</v>
      </c>
      <c r="AB57" s="76">
        <f t="shared" si="64"/>
        <v>0</v>
      </c>
      <c r="AC57" s="76">
        <f t="shared" si="64"/>
        <v>0</v>
      </c>
      <c r="AD57" s="76">
        <f t="shared" si="64"/>
        <v>0</v>
      </c>
      <c r="AE57" s="76">
        <f t="shared" si="64"/>
        <v>0</v>
      </c>
      <c r="AF57" s="76">
        <f t="shared" si="64"/>
        <v>0</v>
      </c>
      <c r="AG57" s="76">
        <f t="shared" si="64"/>
        <v>0</v>
      </c>
      <c r="AH57" s="76">
        <f t="shared" si="64"/>
        <v>0</v>
      </c>
      <c r="AI57" s="76">
        <f t="shared" si="64"/>
        <v>0</v>
      </c>
      <c r="AJ57" s="76">
        <f t="shared" si="64"/>
        <v>0</v>
      </c>
      <c r="AK57" s="76">
        <f t="shared" si="64"/>
        <v>0</v>
      </c>
      <c r="AL57" s="76">
        <f t="shared" si="64"/>
        <v>0</v>
      </c>
      <c r="AM57" s="76">
        <f t="shared" si="64"/>
        <v>0</v>
      </c>
      <c r="AN57" s="76">
        <f t="shared" si="64"/>
        <v>0</v>
      </c>
      <c r="AO57" s="76">
        <f t="shared" si="64"/>
        <v>0</v>
      </c>
    </row>
    <row r="58" spans="2:41" ht="5.0999999999999996" customHeight="1" thickBot="1">
      <c r="B58" s="6"/>
      <c r="C58" s="6"/>
      <c r="D58" s="6"/>
      <c r="E58" s="6"/>
      <c r="F58" s="6"/>
      <c r="G58" s="6"/>
      <c r="H58" s="1"/>
      <c r="I58" s="6"/>
      <c r="J58" s="61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</row>
    <row r="59" spans="2:41" ht="13.5" thickBot="1">
      <c r="B59" s="6"/>
      <c r="C59" s="6" t="s">
        <v>81</v>
      </c>
      <c r="D59" s="6"/>
      <c r="E59" s="170">
        <v>5</v>
      </c>
      <c r="F59" s="171">
        <v>7.4999999999999997E-2</v>
      </c>
      <c r="G59" s="6"/>
      <c r="H59" s="33" t="s">
        <v>4</v>
      </c>
      <c r="I59" s="29"/>
      <c r="J59" s="61">
        <f>SUM(L59:AO59)</f>
        <v>0</v>
      </c>
      <c r="K59" s="76"/>
      <c r="L59" s="61">
        <f>ROUND(-AVERAGE(L54,L57)*$F59,1)</f>
        <v>0</v>
      </c>
      <c r="M59" s="61">
        <f t="shared" ref="M59:AO59" si="65">ROUND(-AVERAGE(M54,M57)*$F59,1)</f>
        <v>0</v>
      </c>
      <c r="N59" s="61">
        <f t="shared" si="65"/>
        <v>0</v>
      </c>
      <c r="O59" s="61">
        <f t="shared" si="65"/>
        <v>0</v>
      </c>
      <c r="P59" s="61">
        <f t="shared" si="65"/>
        <v>0</v>
      </c>
      <c r="Q59" s="61">
        <f t="shared" si="65"/>
        <v>0</v>
      </c>
      <c r="R59" s="61">
        <f t="shared" si="65"/>
        <v>0</v>
      </c>
      <c r="S59" s="61">
        <f t="shared" si="65"/>
        <v>0</v>
      </c>
      <c r="T59" s="61">
        <f t="shared" si="65"/>
        <v>0</v>
      </c>
      <c r="U59" s="61">
        <f t="shared" si="65"/>
        <v>0</v>
      </c>
      <c r="V59" s="61">
        <f t="shared" si="65"/>
        <v>0</v>
      </c>
      <c r="W59" s="61">
        <f t="shared" si="65"/>
        <v>0</v>
      </c>
      <c r="X59" s="61">
        <f t="shared" si="65"/>
        <v>0</v>
      </c>
      <c r="Y59" s="61">
        <f t="shared" si="65"/>
        <v>0</v>
      </c>
      <c r="Z59" s="61">
        <f t="shared" si="65"/>
        <v>0</v>
      </c>
      <c r="AA59" s="61">
        <f t="shared" si="65"/>
        <v>0</v>
      </c>
      <c r="AB59" s="61">
        <f t="shared" si="65"/>
        <v>0</v>
      </c>
      <c r="AC59" s="61">
        <f t="shared" si="65"/>
        <v>0</v>
      </c>
      <c r="AD59" s="61">
        <f t="shared" si="65"/>
        <v>0</v>
      </c>
      <c r="AE59" s="61">
        <f t="shared" si="65"/>
        <v>0</v>
      </c>
      <c r="AF59" s="61">
        <f t="shared" si="65"/>
        <v>0</v>
      </c>
      <c r="AG59" s="61">
        <f t="shared" si="65"/>
        <v>0</v>
      </c>
      <c r="AH59" s="61">
        <f t="shared" si="65"/>
        <v>0</v>
      </c>
      <c r="AI59" s="61">
        <f t="shared" si="65"/>
        <v>0</v>
      </c>
      <c r="AJ59" s="61">
        <f t="shared" si="65"/>
        <v>0</v>
      </c>
      <c r="AK59" s="61">
        <f t="shared" si="65"/>
        <v>0</v>
      </c>
      <c r="AL59" s="61">
        <f t="shared" si="65"/>
        <v>0</v>
      </c>
      <c r="AM59" s="61">
        <f t="shared" si="65"/>
        <v>0</v>
      </c>
      <c r="AN59" s="61">
        <f t="shared" si="65"/>
        <v>0</v>
      </c>
      <c r="AO59" s="61">
        <f t="shared" si="65"/>
        <v>0</v>
      </c>
    </row>
    <row r="60" spans="2:41" ht="5.0999999999999996" customHeight="1">
      <c r="J60" s="73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</row>
    <row r="61" spans="2:41">
      <c r="B61" s="6" t="s">
        <v>84</v>
      </c>
      <c r="C61" s="6"/>
      <c r="D61" s="6"/>
      <c r="E61" s="6"/>
      <c r="F61" s="6"/>
      <c r="G61" s="6"/>
      <c r="H61" s="1"/>
      <c r="I61" s="6"/>
      <c r="J61" s="61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</row>
    <row r="62" spans="2:41">
      <c r="B62" s="6"/>
      <c r="C62" s="6" t="s">
        <v>77</v>
      </c>
      <c r="D62" s="6"/>
      <c r="E62" s="6"/>
      <c r="F62" s="6"/>
      <c r="G62" s="6"/>
      <c r="H62" s="33" t="s">
        <v>4</v>
      </c>
      <c r="I62" s="6"/>
      <c r="J62" s="61"/>
      <c r="K62" s="76"/>
      <c r="L62" s="74"/>
      <c r="M62" s="76">
        <f>L65</f>
        <v>0</v>
      </c>
      <c r="N62" s="76">
        <f t="shared" ref="N62" si="66">M65</f>
        <v>0</v>
      </c>
      <c r="O62" s="76">
        <f t="shared" ref="O62" si="67">N65</f>
        <v>0</v>
      </c>
      <c r="P62" s="76">
        <f t="shared" ref="P62" si="68">O65</f>
        <v>0</v>
      </c>
      <c r="Q62" s="76">
        <f t="shared" ref="Q62" si="69">P65</f>
        <v>0</v>
      </c>
      <c r="R62" s="76">
        <f t="shared" ref="R62" si="70">Q65</f>
        <v>0</v>
      </c>
      <c r="S62" s="76">
        <f t="shared" ref="S62" si="71">R65</f>
        <v>0</v>
      </c>
      <c r="T62" s="76">
        <f t="shared" ref="T62" si="72">S65</f>
        <v>0</v>
      </c>
      <c r="U62" s="76">
        <f t="shared" ref="U62" si="73">T65</f>
        <v>0</v>
      </c>
      <c r="V62" s="76">
        <f t="shared" ref="V62" si="74">U65</f>
        <v>0</v>
      </c>
      <c r="W62" s="76">
        <f t="shared" ref="W62" si="75">V65</f>
        <v>0</v>
      </c>
      <c r="X62" s="76">
        <f t="shared" ref="X62" si="76">W65</f>
        <v>0</v>
      </c>
      <c r="Y62" s="76">
        <f t="shared" ref="Y62" si="77">X65</f>
        <v>0</v>
      </c>
      <c r="Z62" s="76">
        <f t="shared" ref="Z62" si="78">Y65</f>
        <v>0</v>
      </c>
      <c r="AA62" s="76">
        <f t="shared" ref="AA62" si="79">Z65</f>
        <v>0</v>
      </c>
      <c r="AB62" s="76">
        <f t="shared" ref="AB62" si="80">AA65</f>
        <v>0</v>
      </c>
      <c r="AC62" s="76">
        <f t="shared" ref="AC62" si="81">AB65</f>
        <v>0</v>
      </c>
      <c r="AD62" s="76">
        <f t="shared" ref="AD62" si="82">AC65</f>
        <v>0</v>
      </c>
      <c r="AE62" s="76">
        <f t="shared" ref="AE62" si="83">AD65</f>
        <v>0</v>
      </c>
      <c r="AF62" s="76">
        <f t="shared" ref="AF62" si="84">AE65</f>
        <v>0</v>
      </c>
      <c r="AG62" s="76">
        <f t="shared" ref="AG62" si="85">AF65</f>
        <v>0</v>
      </c>
      <c r="AH62" s="76">
        <f t="shared" ref="AH62" si="86">AG65</f>
        <v>0</v>
      </c>
      <c r="AI62" s="76">
        <f t="shared" ref="AI62" si="87">AH65</f>
        <v>0</v>
      </c>
      <c r="AJ62" s="76">
        <f t="shared" ref="AJ62" si="88">AI65</f>
        <v>0</v>
      </c>
      <c r="AK62" s="76">
        <f t="shared" ref="AK62" si="89">AJ65</f>
        <v>0</v>
      </c>
      <c r="AL62" s="76">
        <f t="shared" ref="AL62" si="90">AK65</f>
        <v>0</v>
      </c>
      <c r="AM62" s="76">
        <f t="shared" ref="AM62" si="91">AL65</f>
        <v>0</v>
      </c>
      <c r="AN62" s="76">
        <f t="shared" ref="AN62:AO62" si="92">AM65</f>
        <v>0</v>
      </c>
      <c r="AO62" s="76">
        <f t="shared" si="92"/>
        <v>0</v>
      </c>
    </row>
    <row r="63" spans="2:41">
      <c r="B63" s="6"/>
      <c r="C63" s="6"/>
      <c r="D63" s="6" t="s">
        <v>78</v>
      </c>
      <c r="E63" s="6"/>
      <c r="F63" s="6"/>
      <c r="G63" s="6"/>
      <c r="H63" s="33" t="s">
        <v>4</v>
      </c>
      <c r="I63" s="29"/>
      <c r="J63" s="61">
        <f>SUM(L63:AO63)</f>
        <v>0</v>
      </c>
      <c r="K63" s="76"/>
      <c r="L63" s="74"/>
      <c r="M63" s="74"/>
      <c r="N63" s="74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</row>
    <row r="64" spans="2:41">
      <c r="B64" s="29"/>
      <c r="C64" s="29"/>
      <c r="D64" s="29" t="s">
        <v>89</v>
      </c>
      <c r="E64" s="29"/>
      <c r="F64" s="29"/>
      <c r="G64" s="29"/>
      <c r="H64" s="33" t="s">
        <v>4</v>
      </c>
      <c r="I64" s="29"/>
      <c r="J64" s="61">
        <f>SUM(L64:AO64)</f>
        <v>0</v>
      </c>
      <c r="K64" s="76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</row>
    <row r="65" spans="1:41">
      <c r="B65" s="6"/>
      <c r="C65" s="6" t="s">
        <v>80</v>
      </c>
      <c r="D65" s="6"/>
      <c r="E65" s="6"/>
      <c r="F65" s="6"/>
      <c r="G65" s="6"/>
      <c r="H65" s="33" t="s">
        <v>4</v>
      </c>
      <c r="I65" s="6"/>
      <c r="J65" s="61"/>
      <c r="K65" s="76"/>
      <c r="L65" s="76">
        <f t="shared" ref="L65:AO65" si="93">MAX(L62+L63+L64,0)</f>
        <v>0</v>
      </c>
      <c r="M65" s="76">
        <f t="shared" si="93"/>
        <v>0</v>
      </c>
      <c r="N65" s="76">
        <f t="shared" si="93"/>
        <v>0</v>
      </c>
      <c r="O65" s="76">
        <f t="shared" si="93"/>
        <v>0</v>
      </c>
      <c r="P65" s="76">
        <f t="shared" si="93"/>
        <v>0</v>
      </c>
      <c r="Q65" s="76">
        <f t="shared" si="93"/>
        <v>0</v>
      </c>
      <c r="R65" s="76">
        <f t="shared" si="93"/>
        <v>0</v>
      </c>
      <c r="S65" s="76">
        <f t="shared" si="93"/>
        <v>0</v>
      </c>
      <c r="T65" s="76">
        <f t="shared" si="93"/>
        <v>0</v>
      </c>
      <c r="U65" s="76">
        <f t="shared" si="93"/>
        <v>0</v>
      </c>
      <c r="V65" s="76">
        <f t="shared" si="93"/>
        <v>0</v>
      </c>
      <c r="W65" s="76">
        <f t="shared" si="93"/>
        <v>0</v>
      </c>
      <c r="X65" s="76">
        <f t="shared" si="93"/>
        <v>0</v>
      </c>
      <c r="Y65" s="76">
        <f t="shared" si="93"/>
        <v>0</v>
      </c>
      <c r="Z65" s="76">
        <f t="shared" si="93"/>
        <v>0</v>
      </c>
      <c r="AA65" s="76">
        <f t="shared" si="93"/>
        <v>0</v>
      </c>
      <c r="AB65" s="76">
        <f t="shared" si="93"/>
        <v>0</v>
      </c>
      <c r="AC65" s="76">
        <f t="shared" si="93"/>
        <v>0</v>
      </c>
      <c r="AD65" s="76">
        <f t="shared" si="93"/>
        <v>0</v>
      </c>
      <c r="AE65" s="76">
        <f t="shared" si="93"/>
        <v>0</v>
      </c>
      <c r="AF65" s="76">
        <f t="shared" si="93"/>
        <v>0</v>
      </c>
      <c r="AG65" s="76">
        <f t="shared" si="93"/>
        <v>0</v>
      </c>
      <c r="AH65" s="76">
        <f t="shared" si="93"/>
        <v>0</v>
      </c>
      <c r="AI65" s="76">
        <f t="shared" si="93"/>
        <v>0</v>
      </c>
      <c r="AJ65" s="76">
        <f t="shared" si="93"/>
        <v>0</v>
      </c>
      <c r="AK65" s="76">
        <f t="shared" si="93"/>
        <v>0</v>
      </c>
      <c r="AL65" s="76">
        <f t="shared" si="93"/>
        <v>0</v>
      </c>
      <c r="AM65" s="76">
        <f t="shared" si="93"/>
        <v>0</v>
      </c>
      <c r="AN65" s="76">
        <f t="shared" si="93"/>
        <v>0</v>
      </c>
      <c r="AO65" s="76">
        <f t="shared" si="93"/>
        <v>0</v>
      </c>
    </row>
    <row r="66" spans="1:41" ht="5.0999999999999996" customHeight="1" thickBot="1">
      <c r="B66" s="6"/>
      <c r="C66" s="6"/>
      <c r="D66" s="6"/>
      <c r="E66" s="6"/>
      <c r="F66" s="6"/>
      <c r="G66" s="6"/>
      <c r="H66" s="1"/>
      <c r="I66" s="6"/>
      <c r="J66" s="61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</row>
    <row r="67" spans="1:41" ht="13.5" thickBot="1">
      <c r="B67" s="6"/>
      <c r="C67" s="6" t="s">
        <v>81</v>
      </c>
      <c r="D67" s="6"/>
      <c r="E67" s="170">
        <v>5</v>
      </c>
      <c r="F67" s="171">
        <v>0.1</v>
      </c>
      <c r="G67" s="6"/>
      <c r="H67" s="33" t="s">
        <v>4</v>
      </c>
      <c r="I67" s="29"/>
      <c r="J67" s="61">
        <f>SUM(L67:AO67)</f>
        <v>0</v>
      </c>
      <c r="K67" s="76"/>
      <c r="L67" s="61">
        <f>ROUND(-AVERAGE(L62,L65)*$F67,1)</f>
        <v>0</v>
      </c>
      <c r="M67" s="61">
        <f t="shared" ref="M67:AO67" si="94">ROUND(-AVERAGE(M62,M65)*$F67,1)</f>
        <v>0</v>
      </c>
      <c r="N67" s="61">
        <f t="shared" si="94"/>
        <v>0</v>
      </c>
      <c r="O67" s="61">
        <f t="shared" si="94"/>
        <v>0</v>
      </c>
      <c r="P67" s="61">
        <f t="shared" si="94"/>
        <v>0</v>
      </c>
      <c r="Q67" s="61">
        <f t="shared" si="94"/>
        <v>0</v>
      </c>
      <c r="R67" s="61">
        <f t="shared" si="94"/>
        <v>0</v>
      </c>
      <c r="S67" s="61">
        <f t="shared" si="94"/>
        <v>0</v>
      </c>
      <c r="T67" s="61">
        <f t="shared" si="94"/>
        <v>0</v>
      </c>
      <c r="U67" s="61">
        <f t="shared" si="94"/>
        <v>0</v>
      </c>
      <c r="V67" s="61">
        <f t="shared" si="94"/>
        <v>0</v>
      </c>
      <c r="W67" s="61">
        <f t="shared" si="94"/>
        <v>0</v>
      </c>
      <c r="X67" s="61">
        <f t="shared" si="94"/>
        <v>0</v>
      </c>
      <c r="Y67" s="61">
        <f t="shared" si="94"/>
        <v>0</v>
      </c>
      <c r="Z67" s="61">
        <f t="shared" si="94"/>
        <v>0</v>
      </c>
      <c r="AA67" s="61">
        <f t="shared" si="94"/>
        <v>0</v>
      </c>
      <c r="AB67" s="61">
        <f t="shared" si="94"/>
        <v>0</v>
      </c>
      <c r="AC67" s="61">
        <f t="shared" si="94"/>
        <v>0</v>
      </c>
      <c r="AD67" s="61">
        <f t="shared" si="94"/>
        <v>0</v>
      </c>
      <c r="AE67" s="61">
        <f t="shared" si="94"/>
        <v>0</v>
      </c>
      <c r="AF67" s="61">
        <f t="shared" si="94"/>
        <v>0</v>
      </c>
      <c r="AG67" s="61">
        <f t="shared" si="94"/>
        <v>0</v>
      </c>
      <c r="AH67" s="61">
        <f t="shared" si="94"/>
        <v>0</v>
      </c>
      <c r="AI67" s="61">
        <f t="shared" si="94"/>
        <v>0</v>
      </c>
      <c r="AJ67" s="61">
        <f t="shared" si="94"/>
        <v>0</v>
      </c>
      <c r="AK67" s="61">
        <f t="shared" si="94"/>
        <v>0</v>
      </c>
      <c r="AL67" s="61">
        <f t="shared" si="94"/>
        <v>0</v>
      </c>
      <c r="AM67" s="61">
        <f t="shared" si="94"/>
        <v>0</v>
      </c>
      <c r="AN67" s="61">
        <f t="shared" si="94"/>
        <v>0</v>
      </c>
      <c r="AO67" s="61">
        <f t="shared" si="94"/>
        <v>0</v>
      </c>
    </row>
    <row r="68" spans="1:41">
      <c r="B68" s="6"/>
      <c r="C68" s="6"/>
      <c r="D68" s="6"/>
      <c r="E68" s="6"/>
      <c r="F68" s="6"/>
      <c r="G68" s="6"/>
      <c r="H68" s="1"/>
      <c r="I68" s="6"/>
      <c r="J68" s="61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</row>
    <row r="69" spans="1:41">
      <c r="B69" s="6" t="s">
        <v>93</v>
      </c>
      <c r="C69" s="6"/>
      <c r="D69" s="6"/>
      <c r="E69" s="6"/>
      <c r="F69" s="6"/>
      <c r="G69" s="6"/>
      <c r="H69" s="1"/>
      <c r="I69" s="6"/>
      <c r="J69" s="61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</row>
    <row r="70" spans="1:41">
      <c r="B70" s="6"/>
      <c r="C70" s="6" t="s">
        <v>78</v>
      </c>
      <c r="D70" s="6"/>
      <c r="E70" s="6"/>
      <c r="F70" s="6"/>
      <c r="G70" s="6"/>
      <c r="H70" s="33" t="s">
        <v>4</v>
      </c>
      <c r="I70" s="29"/>
      <c r="J70" s="61">
        <f>SUM(L70:AO70)</f>
        <v>185000</v>
      </c>
      <c r="K70" s="76"/>
      <c r="L70" s="76">
        <f>L47+L55+L63</f>
        <v>120000</v>
      </c>
      <c r="M70" s="76">
        <f t="shared" ref="M70:AJ70" si="95">M47+M55+M63</f>
        <v>40000</v>
      </c>
      <c r="N70" s="76">
        <f t="shared" si="95"/>
        <v>25000</v>
      </c>
      <c r="O70" s="76">
        <f t="shared" si="95"/>
        <v>0</v>
      </c>
      <c r="P70" s="76">
        <f t="shared" si="95"/>
        <v>0</v>
      </c>
      <c r="Q70" s="76">
        <f t="shared" si="95"/>
        <v>0</v>
      </c>
      <c r="R70" s="76">
        <f t="shared" si="95"/>
        <v>0</v>
      </c>
      <c r="S70" s="76">
        <f t="shared" si="95"/>
        <v>0</v>
      </c>
      <c r="T70" s="76">
        <f t="shared" si="95"/>
        <v>0</v>
      </c>
      <c r="U70" s="76">
        <f t="shared" si="95"/>
        <v>0</v>
      </c>
      <c r="V70" s="76">
        <f t="shared" si="95"/>
        <v>0</v>
      </c>
      <c r="W70" s="76">
        <f t="shared" si="95"/>
        <v>0</v>
      </c>
      <c r="X70" s="76">
        <f t="shared" si="95"/>
        <v>0</v>
      </c>
      <c r="Y70" s="76">
        <f t="shared" si="95"/>
        <v>0</v>
      </c>
      <c r="Z70" s="76">
        <f t="shared" si="95"/>
        <v>0</v>
      </c>
      <c r="AA70" s="76">
        <f t="shared" si="95"/>
        <v>0</v>
      </c>
      <c r="AB70" s="76">
        <f t="shared" si="95"/>
        <v>0</v>
      </c>
      <c r="AC70" s="76">
        <f t="shared" si="95"/>
        <v>0</v>
      </c>
      <c r="AD70" s="76">
        <f t="shared" si="95"/>
        <v>0</v>
      </c>
      <c r="AE70" s="76">
        <f t="shared" si="95"/>
        <v>0</v>
      </c>
      <c r="AF70" s="76">
        <f t="shared" si="95"/>
        <v>0</v>
      </c>
      <c r="AG70" s="76">
        <f t="shared" si="95"/>
        <v>0</v>
      </c>
      <c r="AH70" s="76">
        <f t="shared" si="95"/>
        <v>0</v>
      </c>
      <c r="AI70" s="76">
        <f t="shared" si="95"/>
        <v>0</v>
      </c>
      <c r="AJ70" s="76">
        <f t="shared" si="95"/>
        <v>0</v>
      </c>
      <c r="AK70" s="76">
        <f t="shared" ref="AK70:AN70" si="96">AK47+AK55+AK63</f>
        <v>0</v>
      </c>
      <c r="AL70" s="76">
        <f t="shared" si="96"/>
        <v>0</v>
      </c>
      <c r="AM70" s="76">
        <f t="shared" si="96"/>
        <v>0</v>
      </c>
      <c r="AN70" s="76">
        <f t="shared" si="96"/>
        <v>0</v>
      </c>
      <c r="AO70" s="76">
        <f t="shared" ref="AO70" si="97">AO47+AO55+AO63</f>
        <v>0</v>
      </c>
    </row>
    <row r="71" spans="1:41">
      <c r="B71" s="6"/>
      <c r="C71" s="6" t="s">
        <v>89</v>
      </c>
      <c r="D71" s="6"/>
      <c r="E71" s="6"/>
      <c r="F71" s="6"/>
      <c r="G71" s="6"/>
      <c r="H71" s="33" t="s">
        <v>4</v>
      </c>
      <c r="I71" s="29"/>
      <c r="J71" s="61">
        <f>SUM(L71:AO71)</f>
        <v>-185000</v>
      </c>
      <c r="K71" s="76"/>
      <c r="L71" s="76">
        <f>L48+L56+L64</f>
        <v>0</v>
      </c>
      <c r="M71" s="76">
        <f t="shared" ref="M71:AJ71" si="98">M48+M56+M64</f>
        <v>-37000</v>
      </c>
      <c r="N71" s="76">
        <f t="shared" si="98"/>
        <v>-37000</v>
      </c>
      <c r="O71" s="76">
        <f t="shared" si="98"/>
        <v>-37000</v>
      </c>
      <c r="P71" s="76">
        <f t="shared" si="98"/>
        <v>-37000</v>
      </c>
      <c r="Q71" s="76">
        <f t="shared" si="98"/>
        <v>-37000</v>
      </c>
      <c r="R71" s="76">
        <f t="shared" si="98"/>
        <v>0</v>
      </c>
      <c r="S71" s="76">
        <f t="shared" si="98"/>
        <v>0</v>
      </c>
      <c r="T71" s="76">
        <f t="shared" si="98"/>
        <v>0</v>
      </c>
      <c r="U71" s="76">
        <f t="shared" si="98"/>
        <v>0</v>
      </c>
      <c r="V71" s="76">
        <f t="shared" si="98"/>
        <v>0</v>
      </c>
      <c r="W71" s="76">
        <f t="shared" si="98"/>
        <v>0</v>
      </c>
      <c r="X71" s="76">
        <f t="shared" si="98"/>
        <v>0</v>
      </c>
      <c r="Y71" s="76">
        <f t="shared" si="98"/>
        <v>0</v>
      </c>
      <c r="Z71" s="76">
        <f t="shared" si="98"/>
        <v>0</v>
      </c>
      <c r="AA71" s="76">
        <f t="shared" si="98"/>
        <v>0</v>
      </c>
      <c r="AB71" s="76">
        <f t="shared" si="98"/>
        <v>0</v>
      </c>
      <c r="AC71" s="76">
        <f t="shared" si="98"/>
        <v>0</v>
      </c>
      <c r="AD71" s="76">
        <f t="shared" si="98"/>
        <v>0</v>
      </c>
      <c r="AE71" s="76">
        <f t="shared" si="98"/>
        <v>0</v>
      </c>
      <c r="AF71" s="76">
        <f t="shared" si="98"/>
        <v>0</v>
      </c>
      <c r="AG71" s="76">
        <f t="shared" si="98"/>
        <v>0</v>
      </c>
      <c r="AH71" s="76">
        <f t="shared" si="98"/>
        <v>0</v>
      </c>
      <c r="AI71" s="76">
        <f t="shared" si="98"/>
        <v>0</v>
      </c>
      <c r="AJ71" s="76">
        <f t="shared" si="98"/>
        <v>0</v>
      </c>
      <c r="AK71" s="76">
        <f t="shared" ref="AK71:AN71" si="99">AK48+AK56+AK64</f>
        <v>0</v>
      </c>
      <c r="AL71" s="76">
        <f t="shared" si="99"/>
        <v>0</v>
      </c>
      <c r="AM71" s="76">
        <f t="shared" si="99"/>
        <v>0</v>
      </c>
      <c r="AN71" s="76">
        <f t="shared" si="99"/>
        <v>0</v>
      </c>
      <c r="AO71" s="76">
        <f t="shared" ref="AO71" si="100">AO48+AO56+AO64</f>
        <v>0</v>
      </c>
    </row>
    <row r="72" spans="1:41">
      <c r="B72" s="6"/>
      <c r="C72" s="6" t="s">
        <v>90</v>
      </c>
      <c r="D72" s="6"/>
      <c r="E72" s="6"/>
      <c r="F72" s="6"/>
      <c r="G72" s="6"/>
      <c r="H72" s="33" t="s">
        <v>4</v>
      </c>
      <c r="I72" s="29"/>
      <c r="J72" s="61">
        <f>SUM(L72:AO72)</f>
        <v>-44625</v>
      </c>
      <c r="K72" s="76"/>
      <c r="L72" s="76">
        <f>L51+L59+L67</f>
        <v>-10200</v>
      </c>
      <c r="M72" s="76">
        <f t="shared" ref="M72:AJ72" si="101">M51+M59+M67</f>
        <v>-10327.5</v>
      </c>
      <c r="N72" s="76">
        <f t="shared" si="101"/>
        <v>-9945</v>
      </c>
      <c r="O72" s="76">
        <f t="shared" si="101"/>
        <v>-7862.5</v>
      </c>
      <c r="P72" s="76">
        <f t="shared" si="101"/>
        <v>-4717.5</v>
      </c>
      <c r="Q72" s="76">
        <f t="shared" si="101"/>
        <v>-1572.5</v>
      </c>
      <c r="R72" s="76">
        <f t="shared" si="101"/>
        <v>0</v>
      </c>
      <c r="S72" s="76">
        <f t="shared" si="101"/>
        <v>0</v>
      </c>
      <c r="T72" s="76">
        <f t="shared" si="101"/>
        <v>0</v>
      </c>
      <c r="U72" s="76">
        <f t="shared" si="101"/>
        <v>0</v>
      </c>
      <c r="V72" s="76">
        <f t="shared" si="101"/>
        <v>0</v>
      </c>
      <c r="W72" s="76">
        <f t="shared" si="101"/>
        <v>0</v>
      </c>
      <c r="X72" s="76">
        <f t="shared" si="101"/>
        <v>0</v>
      </c>
      <c r="Y72" s="76">
        <f t="shared" si="101"/>
        <v>0</v>
      </c>
      <c r="Z72" s="76">
        <f t="shared" si="101"/>
        <v>0</v>
      </c>
      <c r="AA72" s="76">
        <f t="shared" si="101"/>
        <v>0</v>
      </c>
      <c r="AB72" s="76">
        <f t="shared" si="101"/>
        <v>0</v>
      </c>
      <c r="AC72" s="76">
        <f t="shared" si="101"/>
        <v>0</v>
      </c>
      <c r="AD72" s="76">
        <f t="shared" si="101"/>
        <v>0</v>
      </c>
      <c r="AE72" s="76">
        <f t="shared" si="101"/>
        <v>0</v>
      </c>
      <c r="AF72" s="76">
        <f t="shared" si="101"/>
        <v>0</v>
      </c>
      <c r="AG72" s="76">
        <f t="shared" si="101"/>
        <v>0</v>
      </c>
      <c r="AH72" s="76">
        <f t="shared" si="101"/>
        <v>0</v>
      </c>
      <c r="AI72" s="76">
        <f t="shared" si="101"/>
        <v>0</v>
      </c>
      <c r="AJ72" s="76">
        <f t="shared" si="101"/>
        <v>0</v>
      </c>
      <c r="AK72" s="76">
        <f t="shared" ref="AK72:AN72" si="102">AK51+AK59+AK67</f>
        <v>0</v>
      </c>
      <c r="AL72" s="76">
        <f t="shared" si="102"/>
        <v>0</v>
      </c>
      <c r="AM72" s="76">
        <f t="shared" si="102"/>
        <v>0</v>
      </c>
      <c r="AN72" s="76">
        <f t="shared" si="102"/>
        <v>0</v>
      </c>
      <c r="AO72" s="76">
        <f t="shared" ref="AO72" si="103">AO51+AO59+AO67</f>
        <v>0</v>
      </c>
    </row>
    <row r="73" spans="1:41">
      <c r="J73" s="73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</row>
    <row r="74" spans="1:41" s="158" customFormat="1">
      <c r="A74" s="19"/>
      <c r="B74" s="4" t="s">
        <v>25</v>
      </c>
      <c r="C74" s="4"/>
      <c r="D74" s="4"/>
      <c r="E74" s="4"/>
      <c r="F74" s="4"/>
      <c r="G74" s="4"/>
      <c r="H74" s="59"/>
      <c r="I74" s="4"/>
      <c r="J74" s="61">
        <f>SUM(L74:AO74)</f>
        <v>0</v>
      </c>
      <c r="K74" s="61"/>
      <c r="L74" s="61">
        <f>SUM(L9,L11,L18,L22,L47,L55,L63)-CAPEX!L2</f>
        <v>0</v>
      </c>
      <c r="M74" s="61">
        <f>SUM(M9,M11,M18,M22,M47,M55,M63)-CAPEX!M2</f>
        <v>0</v>
      </c>
      <c r="N74" s="61">
        <f>SUM(N9,N11,N18,N22,N47,N55,N63)-CAPEX!N2</f>
        <v>0</v>
      </c>
      <c r="O74" s="61">
        <f>SUM(O9,O11,O18,O22,O47,O55,O63)-CAPEX!O2</f>
        <v>0</v>
      </c>
      <c r="P74" s="61">
        <f>SUM(P9,P11,P18,P22,P47,P55,P63)-CAPEX!P2</f>
        <v>0</v>
      </c>
      <c r="Q74" s="61">
        <f>SUM(Q9,Q11,Q18,Q22,Q47,Q55,Q63)-CAPEX!Q2</f>
        <v>0</v>
      </c>
      <c r="R74" s="61">
        <f>SUM(R9,R11,R18,R22,R47,R55,R63)-CAPEX!R2</f>
        <v>0</v>
      </c>
      <c r="S74" s="61">
        <f>SUM(S9,S11,S18,S22,S47,S55,S63)-CAPEX!S2</f>
        <v>0</v>
      </c>
      <c r="T74" s="61">
        <f>SUM(T9,T11,T18,T22,T47,T55,T63)-CAPEX!T2</f>
        <v>0</v>
      </c>
      <c r="U74" s="61">
        <f>SUM(U9,U11,U18,U22,U47,U55,U63)-CAPEX!U2</f>
        <v>0</v>
      </c>
      <c r="V74" s="61">
        <f>SUM(V9,V11,V18,V22,V47,V55,V63)-CAPEX!V2</f>
        <v>0</v>
      </c>
      <c r="W74" s="61">
        <f>SUM(W9,W11,W18,W22,W47,W55,W63)-CAPEX!W2</f>
        <v>0</v>
      </c>
      <c r="X74" s="61">
        <f>SUM(X9,X11,X18,X22,X47,X55,X63)-CAPEX!X2</f>
        <v>0</v>
      </c>
      <c r="Y74" s="61">
        <f>SUM(Y9,Y11,Y18,Y22,Y47,Y55,Y63)-CAPEX!Y2</f>
        <v>0</v>
      </c>
      <c r="Z74" s="61">
        <f>SUM(Z9,Z11,Z18,Z22,Z47,Z55,Z63)-CAPEX!Z2</f>
        <v>0</v>
      </c>
      <c r="AA74" s="61">
        <f>SUM(AA9,AA11,AA18,AA22,AA47,AA55,AA63)-CAPEX!AA2</f>
        <v>0</v>
      </c>
      <c r="AB74" s="61">
        <f>SUM(AB9,AB11,AB18,AB22,AB47,AB55,AB63)-CAPEX!AB2</f>
        <v>0</v>
      </c>
      <c r="AC74" s="61">
        <f>SUM(AC9,AC11,AC18,AC22,AC47,AC55,AC63)-CAPEX!AC2</f>
        <v>0</v>
      </c>
      <c r="AD74" s="61">
        <f>SUM(AD9,AD11,AD18,AD22,AD47,AD55,AD63)-CAPEX!AD2</f>
        <v>0</v>
      </c>
      <c r="AE74" s="61">
        <f>SUM(AE9,AE11,AE18,AE22,AE47,AE55,AE63)-CAPEX!AE2</f>
        <v>0</v>
      </c>
      <c r="AF74" s="61">
        <f>SUM(AF9,AF11,AF18,AF22,AF47,AF55,AF63)-CAPEX!AF2</f>
        <v>0</v>
      </c>
      <c r="AG74" s="61">
        <f>SUM(AG9,AG11,AG18,AG22,AG47,AG55,AG63)-CAPEX!AG2</f>
        <v>0</v>
      </c>
      <c r="AH74" s="61">
        <f>SUM(AH9,AH11,AH18,AH22,AH47,AH55,AH63)-CAPEX!AH2</f>
        <v>0</v>
      </c>
      <c r="AI74" s="61">
        <f>SUM(AI9,AI11,AI18,AI22,AI47,AI55,AI63)-CAPEX!AI2</f>
        <v>0</v>
      </c>
      <c r="AJ74" s="61">
        <f>SUM(AJ9,AJ11,AJ18,AJ22,AJ47,AJ55,AJ63)-CAPEX!AJ2</f>
        <v>0</v>
      </c>
      <c r="AK74" s="61">
        <f>SUM(AK9,AK11,AK18,AK22,AK47,AK55,AK63)-CAPEX!AK2</f>
        <v>0</v>
      </c>
      <c r="AL74" s="61">
        <f>SUM(AL9,AL11,AL18,AL22,AL47,AL55,AL63)-CAPEX!AL2</f>
        <v>0</v>
      </c>
      <c r="AM74" s="61">
        <f>SUM(AM9,AM11,AM18,AM22,AM47,AM55,AM63)-CAPEX!AM2</f>
        <v>0</v>
      </c>
      <c r="AN74" s="61">
        <f>SUM(AN9,AN11,AN18,AN22,AN47,AN55,AN63)-CAPEX!AN2</f>
        <v>0</v>
      </c>
      <c r="AO74" s="61">
        <f>SUM(AO9,AO11,AO18,AO22,AO47,AO55,AO63)-CAPEX!AO2</f>
        <v>0</v>
      </c>
    </row>
    <row r="75" spans="1:41">
      <c r="AO75" s="17"/>
    </row>
    <row r="76" spans="1:41">
      <c r="B76" s="6" t="s">
        <v>119</v>
      </c>
      <c r="C76" s="6"/>
      <c r="D76" s="6"/>
      <c r="E76" s="6"/>
      <c r="F76" s="6"/>
      <c r="G76" s="6"/>
      <c r="H76" s="1"/>
      <c r="I76" s="6"/>
      <c r="J76" s="76">
        <f>SUM(J11,J22,J47,J55,J63)</f>
        <v>1465000</v>
      </c>
      <c r="K76" s="6"/>
      <c r="L76" s="76">
        <f t="shared" ref="L76:AJ76" si="104">SUM(L11,L22,L47,L55,L63)</f>
        <v>980000</v>
      </c>
      <c r="M76" s="76">
        <f t="shared" si="104"/>
        <v>310000</v>
      </c>
      <c r="N76" s="76">
        <f t="shared" si="104"/>
        <v>175000</v>
      </c>
      <c r="O76" s="76">
        <f t="shared" si="104"/>
        <v>0</v>
      </c>
      <c r="P76" s="76">
        <f t="shared" si="104"/>
        <v>0</v>
      </c>
      <c r="Q76" s="76">
        <f t="shared" si="104"/>
        <v>0</v>
      </c>
      <c r="R76" s="76">
        <f t="shared" si="104"/>
        <v>0</v>
      </c>
      <c r="S76" s="76">
        <f t="shared" si="104"/>
        <v>0</v>
      </c>
      <c r="T76" s="76">
        <f t="shared" si="104"/>
        <v>0</v>
      </c>
      <c r="U76" s="76">
        <f t="shared" si="104"/>
        <v>0</v>
      </c>
      <c r="V76" s="76">
        <f t="shared" si="104"/>
        <v>0</v>
      </c>
      <c r="W76" s="76">
        <f t="shared" si="104"/>
        <v>0</v>
      </c>
      <c r="X76" s="76">
        <f t="shared" si="104"/>
        <v>0</v>
      </c>
      <c r="Y76" s="76">
        <f t="shared" si="104"/>
        <v>0</v>
      </c>
      <c r="Z76" s="76">
        <f t="shared" si="104"/>
        <v>0</v>
      </c>
      <c r="AA76" s="76">
        <f t="shared" si="104"/>
        <v>0</v>
      </c>
      <c r="AB76" s="76">
        <f t="shared" si="104"/>
        <v>0</v>
      </c>
      <c r="AC76" s="76">
        <f t="shared" si="104"/>
        <v>0</v>
      </c>
      <c r="AD76" s="76">
        <f t="shared" si="104"/>
        <v>0</v>
      </c>
      <c r="AE76" s="76">
        <f t="shared" si="104"/>
        <v>0</v>
      </c>
      <c r="AF76" s="76">
        <f t="shared" si="104"/>
        <v>0</v>
      </c>
      <c r="AG76" s="76">
        <f t="shared" si="104"/>
        <v>0</v>
      </c>
      <c r="AH76" s="76">
        <f t="shared" si="104"/>
        <v>0</v>
      </c>
      <c r="AI76" s="76">
        <f t="shared" si="104"/>
        <v>0</v>
      </c>
      <c r="AJ76" s="76">
        <f t="shared" si="104"/>
        <v>0</v>
      </c>
      <c r="AK76" s="76">
        <f t="shared" ref="AK76:AN76" si="105">SUM(AK11,AK22,AK47,AK55,AK63)</f>
        <v>0</v>
      </c>
      <c r="AL76" s="76">
        <f t="shared" si="105"/>
        <v>0</v>
      </c>
      <c r="AM76" s="76">
        <f t="shared" si="105"/>
        <v>0</v>
      </c>
      <c r="AN76" s="76">
        <f t="shared" si="105"/>
        <v>0</v>
      </c>
      <c r="AO76" s="76">
        <f t="shared" ref="AO76" si="106">SUM(AO11,AO22,AO47,AO55,AO63)</f>
        <v>0</v>
      </c>
    </row>
    <row r="77" spans="1:41">
      <c r="B77" s="6" t="s">
        <v>120</v>
      </c>
      <c r="C77" s="6"/>
      <c r="D77" s="6"/>
      <c r="E77" s="6"/>
      <c r="F77" s="6"/>
      <c r="G77" s="6"/>
      <c r="H77" s="1"/>
      <c r="I77" s="6"/>
      <c r="J77" s="76">
        <f>SUM(J12,J23,J48,J56,J64)</f>
        <v>-1465000.0000000005</v>
      </c>
      <c r="K77" s="6"/>
      <c r="L77" s="76">
        <f t="shared" ref="L77:AJ77" si="107">SUM(L12,L23,L48,L56,L64)</f>
        <v>0</v>
      </c>
      <c r="M77" s="76">
        <f t="shared" si="107"/>
        <v>-37000</v>
      </c>
      <c r="N77" s="76">
        <f t="shared" si="107"/>
        <v>-79500</v>
      </c>
      <c r="O77" s="76">
        <f t="shared" si="107"/>
        <v>-79500</v>
      </c>
      <c r="P77" s="76">
        <f t="shared" si="107"/>
        <v>-135715.7624450826</v>
      </c>
      <c r="Q77" s="76">
        <f t="shared" si="107"/>
        <v>-158337.55690367339</v>
      </c>
      <c r="R77" s="76">
        <f t="shared" si="107"/>
        <v>-95967.762163499094</v>
      </c>
      <c r="S77" s="76">
        <f t="shared" si="107"/>
        <v>-98846.795028404071</v>
      </c>
      <c r="T77" s="76">
        <f t="shared" si="107"/>
        <v>-101812.1988792562</v>
      </c>
      <c r="U77" s="76">
        <f t="shared" si="107"/>
        <v>-104866.56484563387</v>
      </c>
      <c r="V77" s="76">
        <f t="shared" si="107"/>
        <v>-108012.5617910029</v>
      </c>
      <c r="W77" s="76">
        <f t="shared" si="107"/>
        <v>-111252.93864473297</v>
      </c>
      <c r="X77" s="76">
        <f t="shared" si="107"/>
        <v>-114590.52680407497</v>
      </c>
      <c r="Y77" s="76">
        <f t="shared" si="107"/>
        <v>-118028.24260819722</v>
      </c>
      <c r="Z77" s="76">
        <f t="shared" si="107"/>
        <v>-121569.08988644314</v>
      </c>
      <c r="AA77" s="76">
        <f t="shared" si="107"/>
        <v>0</v>
      </c>
      <c r="AB77" s="76">
        <f t="shared" si="107"/>
        <v>0</v>
      </c>
      <c r="AC77" s="76">
        <f t="shared" si="107"/>
        <v>0</v>
      </c>
      <c r="AD77" s="76">
        <f t="shared" si="107"/>
        <v>0</v>
      </c>
      <c r="AE77" s="76">
        <f t="shared" si="107"/>
        <v>0</v>
      </c>
      <c r="AF77" s="76">
        <f t="shared" si="107"/>
        <v>0</v>
      </c>
      <c r="AG77" s="76">
        <f t="shared" si="107"/>
        <v>0</v>
      </c>
      <c r="AH77" s="76">
        <f t="shared" si="107"/>
        <v>0</v>
      </c>
      <c r="AI77" s="76">
        <f t="shared" si="107"/>
        <v>0</v>
      </c>
      <c r="AJ77" s="76">
        <f t="shared" si="107"/>
        <v>0</v>
      </c>
      <c r="AK77" s="76">
        <f t="shared" ref="AK77:AN77" si="108">SUM(AK12,AK23,AK48,AK56,AK64)</f>
        <v>0</v>
      </c>
      <c r="AL77" s="76">
        <f t="shared" si="108"/>
        <v>0</v>
      </c>
      <c r="AM77" s="76">
        <f t="shared" si="108"/>
        <v>0</v>
      </c>
      <c r="AN77" s="76">
        <f t="shared" si="108"/>
        <v>0</v>
      </c>
      <c r="AO77" s="76">
        <f t="shared" ref="AO77" si="109">SUM(AO12,AO23,AO48,AO56,AO64)</f>
        <v>0</v>
      </c>
    </row>
    <row r="78" spans="1:41">
      <c r="B78" s="6" t="s">
        <v>121</v>
      </c>
      <c r="C78" s="6"/>
      <c r="D78" s="6"/>
      <c r="E78" s="6"/>
      <c r="F78" s="6"/>
      <c r="G78" s="6"/>
      <c r="H78" s="1"/>
      <c r="I78" s="6"/>
      <c r="J78" s="4"/>
      <c r="K78" s="6"/>
      <c r="L78" s="29">
        <f>IF(ABS(K78+L76+L77)&lt;0.1,0,K78+L76+L77)</f>
        <v>980000</v>
      </c>
      <c r="M78" s="29">
        <f t="shared" ref="M78:AO78" si="110">IF(ABS(L78+M76+M77)&lt;0.1,0,L78+M76+M77)</f>
        <v>1253000</v>
      </c>
      <c r="N78" s="29">
        <f t="shared" si="110"/>
        <v>1348500</v>
      </c>
      <c r="O78" s="29">
        <f t="shared" si="110"/>
        <v>1269000</v>
      </c>
      <c r="P78" s="29">
        <f t="shared" si="110"/>
        <v>1133284.2375549173</v>
      </c>
      <c r="Q78" s="29">
        <f t="shared" si="110"/>
        <v>974946.68065124401</v>
      </c>
      <c r="R78" s="29">
        <f t="shared" si="110"/>
        <v>878978.91848774487</v>
      </c>
      <c r="S78" s="29">
        <f t="shared" si="110"/>
        <v>780132.12345934077</v>
      </c>
      <c r="T78" s="29">
        <f t="shared" si="110"/>
        <v>678319.92458008463</v>
      </c>
      <c r="U78" s="29">
        <f t="shared" si="110"/>
        <v>573453.3597344507</v>
      </c>
      <c r="V78" s="29">
        <f t="shared" si="110"/>
        <v>465440.79794344783</v>
      </c>
      <c r="W78" s="29">
        <f t="shared" si="110"/>
        <v>354187.85929871484</v>
      </c>
      <c r="X78" s="29">
        <f t="shared" si="110"/>
        <v>239597.33249463988</v>
      </c>
      <c r="Y78" s="29">
        <f t="shared" si="110"/>
        <v>121569.08988644266</v>
      </c>
      <c r="Z78" s="29">
        <f t="shared" si="110"/>
        <v>0</v>
      </c>
      <c r="AA78" s="29">
        <f t="shared" si="110"/>
        <v>0</v>
      </c>
      <c r="AB78" s="29">
        <f t="shared" si="110"/>
        <v>0</v>
      </c>
      <c r="AC78" s="29">
        <f t="shared" si="110"/>
        <v>0</v>
      </c>
      <c r="AD78" s="29">
        <f t="shared" si="110"/>
        <v>0</v>
      </c>
      <c r="AE78" s="29">
        <f t="shared" si="110"/>
        <v>0</v>
      </c>
      <c r="AF78" s="29">
        <f t="shared" si="110"/>
        <v>0</v>
      </c>
      <c r="AG78" s="29">
        <f t="shared" si="110"/>
        <v>0</v>
      </c>
      <c r="AH78" s="29">
        <f t="shared" si="110"/>
        <v>0</v>
      </c>
      <c r="AI78" s="29">
        <f t="shared" si="110"/>
        <v>0</v>
      </c>
      <c r="AJ78" s="29">
        <f t="shared" si="110"/>
        <v>0</v>
      </c>
      <c r="AK78" s="29">
        <f t="shared" si="110"/>
        <v>0</v>
      </c>
      <c r="AL78" s="29">
        <f t="shared" si="110"/>
        <v>0</v>
      </c>
      <c r="AM78" s="29">
        <f t="shared" si="110"/>
        <v>0</v>
      </c>
      <c r="AN78" s="29">
        <f t="shared" si="110"/>
        <v>0</v>
      </c>
      <c r="AO78" s="29">
        <f t="shared" si="110"/>
        <v>0</v>
      </c>
    </row>
    <row r="80" spans="1:41" ht="13.5" thickBot="1">
      <c r="B80" s="6" t="s">
        <v>85</v>
      </c>
      <c r="C80" s="6"/>
      <c r="D80" s="6"/>
      <c r="E80" s="6"/>
      <c r="F80" s="6" t="s">
        <v>86</v>
      </c>
      <c r="G80" s="6"/>
      <c r="H80" s="6" t="s">
        <v>87</v>
      </c>
      <c r="I80" s="6"/>
      <c r="J80" s="4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</row>
    <row r="81" spans="2:40" ht="13.5" thickBot="1">
      <c r="B81" s="6"/>
      <c r="C81" s="6" t="s">
        <v>73</v>
      </c>
      <c r="D81" s="6"/>
      <c r="E81" s="6"/>
      <c r="F81" s="90"/>
      <c r="G81" s="90"/>
      <c r="H81" s="90"/>
      <c r="I81" s="90"/>
      <c r="J81" s="88"/>
      <c r="L81" s="178">
        <v>9.5000000000000001E-2</v>
      </c>
      <c r="M81" s="179" t="s">
        <v>200</v>
      </c>
      <c r="O81" s="74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</row>
    <row r="82" spans="2:40" ht="13.5" thickBot="1">
      <c r="B82" s="6"/>
      <c r="C82" s="6"/>
      <c r="D82" s="6" t="s">
        <v>91</v>
      </c>
      <c r="E82" s="6"/>
      <c r="F82" s="90">
        <f>J9/J2</f>
        <v>0.10810810810810811</v>
      </c>
      <c r="G82" s="90"/>
      <c r="H82" s="90">
        <f>$L$81+1%+6%+$L$82</f>
        <v>0.21499999999999997</v>
      </c>
      <c r="I82" s="90"/>
      <c r="J82" s="88">
        <f>F82*H82</f>
        <v>2.3243243243243242E-2</v>
      </c>
      <c r="L82" s="178">
        <v>0.05</v>
      </c>
      <c r="M82" s="179" t="s">
        <v>197</v>
      </c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</row>
    <row r="83" spans="2:40">
      <c r="B83" s="6"/>
      <c r="C83" s="6"/>
      <c r="D83" s="6" t="s">
        <v>92</v>
      </c>
      <c r="E83" s="6"/>
      <c r="F83" s="90">
        <f>J11/J2</f>
        <v>9.1891891891891897E-2</v>
      </c>
      <c r="G83" s="90"/>
      <c r="H83" s="90">
        <f>$F$15*(1-20%)</f>
        <v>8.0000000000000016E-2</v>
      </c>
      <c r="I83" s="90"/>
      <c r="J83" s="88">
        <f>F83*H83</f>
        <v>7.3513513513513533E-3</v>
      </c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</row>
    <row r="84" spans="2:40">
      <c r="B84" s="6"/>
      <c r="C84" s="6" t="s">
        <v>74</v>
      </c>
      <c r="D84" s="6"/>
      <c r="E84" s="6"/>
      <c r="F84" s="90">
        <f>J18/J2</f>
        <v>0.1</v>
      </c>
      <c r="G84" s="90"/>
      <c r="H84" s="90">
        <v>0</v>
      </c>
      <c r="I84" s="90"/>
      <c r="J84" s="88">
        <f>F84*H84</f>
        <v>0</v>
      </c>
      <c r="M84" s="89"/>
      <c r="N84" s="89"/>
      <c r="O84" s="89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</row>
    <row r="85" spans="2:40">
      <c r="B85" s="6"/>
      <c r="C85" s="6" t="s">
        <v>75</v>
      </c>
      <c r="D85" s="6"/>
      <c r="E85" s="6"/>
      <c r="F85" s="90">
        <f>J22/J2</f>
        <v>0.6</v>
      </c>
      <c r="G85" s="90"/>
      <c r="H85" s="90">
        <f>$F$43*(1-20%)</f>
        <v>2.4E-2</v>
      </c>
      <c r="I85" s="90"/>
      <c r="J85" s="88">
        <f>F85*H85</f>
        <v>1.44E-2</v>
      </c>
      <c r="M85" s="89"/>
      <c r="N85" s="89"/>
      <c r="O85" s="89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</row>
    <row r="86" spans="2:40">
      <c r="B86" s="6"/>
      <c r="C86" s="6" t="s">
        <v>76</v>
      </c>
      <c r="D86" s="6"/>
      <c r="E86" s="6"/>
      <c r="F86" s="90">
        <f>(J47+J55+J63)/J2</f>
        <v>0.1</v>
      </c>
      <c r="G86" s="90"/>
      <c r="H86" s="90">
        <f>IFERROR((F51*J48+F59*J56+F67*J64)/(J48+J56+J64)*(1-20%),0)</f>
        <v>6.8000000000000005E-2</v>
      </c>
      <c r="I86" s="90"/>
      <c r="J86" s="88">
        <f>F86*H86</f>
        <v>6.8000000000000005E-3</v>
      </c>
      <c r="M86" s="89"/>
      <c r="N86" s="89"/>
      <c r="O86" s="89"/>
    </row>
    <row r="87" spans="2:40" ht="13.5" thickBot="1">
      <c r="B87" s="21" t="s">
        <v>88</v>
      </c>
      <c r="C87" s="21"/>
      <c r="D87" s="21"/>
      <c r="E87" s="21"/>
      <c r="F87" s="91">
        <f>SUM(F82:F86)</f>
        <v>1</v>
      </c>
      <c r="G87" s="91"/>
      <c r="H87" s="91"/>
      <c r="I87" s="91"/>
      <c r="J87" s="92">
        <f>SUM(J81:J86)</f>
        <v>5.1794594594594595E-2</v>
      </c>
      <c r="P87" s="74"/>
    </row>
    <row r="88" spans="2:40" ht="13.5" thickTop="1"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</row>
    <row r="89" spans="2:40">
      <c r="B89" s="6" t="s">
        <v>113</v>
      </c>
      <c r="C89" s="6"/>
      <c r="D89" s="6"/>
      <c r="E89" s="6"/>
      <c r="F89" s="6" t="s">
        <v>86</v>
      </c>
      <c r="G89" s="6"/>
      <c r="H89" s="6" t="s">
        <v>87</v>
      </c>
      <c r="I89" s="6"/>
      <c r="J89" s="4"/>
    </row>
    <row r="90" spans="2:40">
      <c r="B90" s="6"/>
      <c r="C90" s="6" t="s">
        <v>73</v>
      </c>
      <c r="D90" s="6"/>
      <c r="E90" s="6"/>
      <c r="F90" s="90"/>
      <c r="G90" s="90"/>
      <c r="H90" s="90"/>
      <c r="I90" s="90"/>
      <c r="J90" s="88"/>
    </row>
    <row r="91" spans="2:40">
      <c r="B91" s="6"/>
      <c r="C91" s="6"/>
      <c r="D91" s="6" t="s">
        <v>91</v>
      </c>
      <c r="E91" s="6"/>
      <c r="F91" s="90"/>
      <c r="G91" s="90"/>
      <c r="H91" s="90">
        <f>H82</f>
        <v>0.21499999999999997</v>
      </c>
      <c r="I91" s="90"/>
      <c r="J91" s="88">
        <f>F91*H91</f>
        <v>0</v>
      </c>
    </row>
    <row r="92" spans="2:40">
      <c r="B92" s="6"/>
      <c r="C92" s="6"/>
      <c r="D92" s="6" t="s">
        <v>92</v>
      </c>
      <c r="E92" s="6"/>
      <c r="F92" s="90">
        <f>J11/J76</f>
        <v>0.11604095563139932</v>
      </c>
      <c r="G92" s="90"/>
      <c r="H92" s="90">
        <f>$F$15</f>
        <v>0.1</v>
      </c>
      <c r="I92" s="90"/>
      <c r="J92" s="88">
        <f>F92*H92</f>
        <v>1.1604095563139932E-2</v>
      </c>
    </row>
    <row r="93" spans="2:40">
      <c r="B93" s="6"/>
      <c r="C93" s="6" t="s">
        <v>74</v>
      </c>
      <c r="D93" s="6"/>
      <c r="E93" s="6"/>
      <c r="F93" s="90"/>
      <c r="G93" s="90"/>
      <c r="H93" s="90">
        <v>0</v>
      </c>
      <c r="I93" s="90"/>
      <c r="J93" s="88">
        <f>F93*H93</f>
        <v>0</v>
      </c>
    </row>
    <row r="94" spans="2:40">
      <c r="B94" s="6"/>
      <c r="C94" s="6" t="s">
        <v>75</v>
      </c>
      <c r="D94" s="6"/>
      <c r="E94" s="6"/>
      <c r="F94" s="90">
        <f>J22/J76</f>
        <v>0.75767918088737196</v>
      </c>
      <c r="G94" s="90"/>
      <c r="H94" s="90">
        <f>$F$43</f>
        <v>0.03</v>
      </c>
      <c r="I94" s="90"/>
      <c r="J94" s="88">
        <f>F94*H94</f>
        <v>2.2730375426621159E-2</v>
      </c>
    </row>
    <row r="95" spans="2:40">
      <c r="B95" s="6"/>
      <c r="C95" s="6" t="s">
        <v>76</v>
      </c>
      <c r="D95" s="6"/>
      <c r="E95" s="6"/>
      <c r="F95" s="90">
        <f>J70/J76</f>
        <v>0.12627986348122866</v>
      </c>
      <c r="G95" s="90"/>
      <c r="H95" s="90">
        <f>IFERROR((F51*J48+F59*J56+F67*J64)/(J48+J56+J64),0)</f>
        <v>8.5000000000000006E-2</v>
      </c>
      <c r="I95" s="90"/>
      <c r="J95" s="88">
        <f>F95*H95</f>
        <v>1.0733788395904437E-2</v>
      </c>
    </row>
    <row r="96" spans="2:40" ht="13.5" thickBot="1">
      <c r="B96" s="21" t="s">
        <v>88</v>
      </c>
      <c r="C96" s="21"/>
      <c r="D96" s="21"/>
      <c r="E96" s="21"/>
      <c r="F96" s="91">
        <f>SUM(F91:F95)</f>
        <v>0.99999999999999989</v>
      </c>
      <c r="G96" s="91"/>
      <c r="H96" s="91"/>
      <c r="I96" s="91"/>
      <c r="J96" s="92">
        <f>SUM(J90:J95)</f>
        <v>4.5068259385665527E-2</v>
      </c>
    </row>
    <row r="97" ht="13.5" thickTop="1"/>
  </sheetData>
  <customSheetViews>
    <customSheetView guid="{7D5A2C9F-3ABE-4F29-B54C-C3E3AA98CA69}" scale="85" showPageBreaks="1" printArea="1" hiddenRows="1" hiddenColumns="1" view="pageBreakPreview">
      <pane xSplit="11" ySplit="1" topLeftCell="L41" activePane="bottomRight" state="frozen"/>
      <selection pane="bottomRight" activeCell="R91" sqref="R91"/>
      <colBreaks count="1" manualBreakCount="1">
        <brk id="26" max="95" man="1"/>
      </colBreaks>
      <pageMargins left="7.874015748031496E-2" right="7.874015748031496E-2" top="0.98425196850393704" bottom="0.74803149606299213" header="0.31496062992125984" footer="0.31496062992125984"/>
      <pageSetup paperSize="9" scale="52" fitToWidth="3" orientation="landscape" horizontalDpi="0" verticalDpi="0" r:id="rId1"/>
      <headerFooter>
        <oddHeader>&amp;R&amp;G</oddHeader>
      </headerFooter>
    </customSheetView>
  </customSheetViews>
  <conditionalFormatting sqref="F87">
    <cfRule type="cellIs" dxfId="23" priority="3" operator="lessThan">
      <formula>1</formula>
    </cfRule>
    <cfRule type="cellIs" dxfId="22" priority="4" operator="greaterThan">
      <formula>1</formula>
    </cfRule>
  </conditionalFormatting>
  <conditionalFormatting sqref="F96">
    <cfRule type="cellIs" dxfId="21" priority="2" operator="greaterThan">
      <formula>1</formula>
    </cfRule>
    <cfRule type="cellIs" dxfId="20" priority="1" operator="lessThan">
      <formula>1</formula>
    </cfRule>
  </conditionalFormatting>
  <dataValidations count="1">
    <dataValidation type="list" allowBlank="1" showInputMessage="1" showErrorMessage="1" sqref="L82">
      <formula1>"0%,5%"</formula1>
    </dataValidation>
  </dataValidations>
  <pageMargins left="7.874015748031496E-2" right="7.874015748031496E-2" top="0.98425196850393704" bottom="0.74803149606299213" header="0.31496062992125984" footer="0.31496062992125984"/>
  <pageSetup paperSize="9" scale="42" fitToWidth="3" orientation="landscape" horizontalDpi="0" verticalDpi="0" r:id="rId2"/>
  <headerFooter>
    <oddHeader>&amp;R&amp;G</oddHeader>
  </headerFooter>
  <colBreaks count="1" manualBreakCount="1">
    <brk id="26" max="95" man="1"/>
  </col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</vt:i4>
      </vt:variant>
    </vt:vector>
  </HeadingPairs>
  <TitlesOfParts>
    <vt:vector size="23" baseType="lpstr">
      <vt:lpstr>Титул</vt:lpstr>
      <vt:lpstr>Содержание</vt:lpstr>
      <vt:lpstr>Выручка</vt:lpstr>
      <vt:lpstr>OPEX</vt:lpstr>
      <vt:lpstr>CAPEX</vt:lpstr>
      <vt:lpstr>Источники_Долг_WACC</vt:lpstr>
      <vt:lpstr>CF</vt:lpstr>
      <vt:lpstr>Табло</vt:lpstr>
      <vt:lpstr>CF!Заголовки_для_печати</vt:lpstr>
      <vt:lpstr>OPEX!Заголовки_для_печати</vt:lpstr>
      <vt:lpstr>Выручка!Заголовки_для_печати</vt:lpstr>
      <vt:lpstr>Источники_Долг_WACC!Заголовки_для_печати</vt:lpstr>
      <vt:lpstr>CAPEX!Область_печати</vt:lpstr>
      <vt:lpstr>CAPEX_long!Область_печати</vt:lpstr>
      <vt:lpstr>CF!Область_печати</vt:lpstr>
      <vt:lpstr>OPEX!Область_печати</vt:lpstr>
      <vt:lpstr>OPEX_long!Область_печати</vt:lpstr>
      <vt:lpstr>Баланс_ресурсов!Область_печати</vt:lpstr>
      <vt:lpstr>Выручка!Область_печати</vt:lpstr>
      <vt:lpstr>Источники_Долг_WACC!Область_печати</vt:lpstr>
      <vt:lpstr>Содержание!Область_печати</vt:lpstr>
      <vt:lpstr>Табло!Область_печати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Ананян</dc:creator>
  <cp:lastModifiedBy>Ананян</cp:lastModifiedBy>
  <cp:lastPrinted>2022-02-15T05:52:49Z</cp:lastPrinted>
  <dcterms:created xsi:type="dcterms:W3CDTF">2021-07-21T07:27:55Z</dcterms:created>
  <dcterms:modified xsi:type="dcterms:W3CDTF">2022-02-15T08:56:41Z</dcterms:modified>
</cp:coreProperties>
</file>